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92E445B3-B287-409D-83A9-9551C51E5A1C}" xr6:coauthVersionLast="47" xr6:coauthVersionMax="47" xr10:uidLastSave="{00000000-0000-0000-0000-000000000000}"/>
  <bookViews>
    <workbookView xWindow="-120" yWindow="-120" windowWidth="29040" windowHeight="15720" tabRatio="947" xr2:uid="{00000000-000D-0000-FFFF-FFFF00000000}"/>
  </bookViews>
  <sheets>
    <sheet name="試算シート " sheetId="18" r:id="rId1"/>
    <sheet name="所得計算（R6年分）" sheetId="4" state="hidden" r:id="rId2"/>
    <sheet name="年金（R2年分以降）" sheetId="5" state="hidden" r:id="rId3"/>
  </sheets>
  <definedNames>
    <definedName name="_xlnm.Print_Area" localSheetId="0">'試算シート '!$A$2:$K$34</definedName>
    <definedName name="_xlnm.Print_Area" localSheetId="1">'所得計算（R6年分）'!$A$1:$P$14</definedName>
    <definedName name="_xlnm.Print_Area" localSheetId="2">'年金（R2年分以降）'!$A$1:$K$22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5" i="18" l="1"/>
  <c r="AC24" i="18"/>
  <c r="AB25" i="18"/>
  <c r="X24" i="18"/>
  <c r="W24" i="18"/>
  <c r="AG25" i="18"/>
  <c r="AG24" i="18"/>
  <c r="O25" i="18"/>
  <c r="O24" i="18"/>
  <c r="AB24" i="18" s="1"/>
  <c r="O23" i="18"/>
  <c r="AB23" i="18" s="1"/>
  <c r="O22" i="18"/>
  <c r="AC22" i="18" s="1"/>
  <c r="O21" i="18"/>
  <c r="AC21" i="18" s="1"/>
  <c r="A2" i="4"/>
  <c r="B2" i="5"/>
  <c r="B1" i="5"/>
  <c r="N25" i="18"/>
  <c r="AD25" i="18" s="1"/>
  <c r="N24" i="18"/>
  <c r="AD24" i="18" s="1"/>
  <c r="N23" i="18"/>
  <c r="AD23" i="18" s="1"/>
  <c r="N21" i="18"/>
  <c r="AD21" i="18" s="1"/>
  <c r="AG21" i="18" l="1"/>
  <c r="AB21" i="18"/>
  <c r="AC23" i="18"/>
  <c r="AG23" i="18"/>
  <c r="AB22" i="18"/>
  <c r="AG22" i="18"/>
  <c r="AE25" i="18"/>
  <c r="AF25" i="18"/>
  <c r="AH25" i="18" s="1"/>
  <c r="AE23" i="18"/>
  <c r="AF23" i="18" s="1"/>
  <c r="AH23" i="18" s="1"/>
  <c r="AE24" i="18"/>
  <c r="AF24" i="18" s="1"/>
  <c r="AH24" i="18" s="1"/>
  <c r="AE21" i="18"/>
  <c r="AB26" i="18" l="1"/>
  <c r="AC26" i="18"/>
  <c r="AF21" i="18"/>
  <c r="AH21" i="18" l="1"/>
  <c r="C1" i="5" l="1"/>
  <c r="N9" i="4" l="1"/>
  <c r="M9" i="4"/>
  <c r="O9" i="4" l="1"/>
  <c r="I9" i="4" s="1"/>
  <c r="M12" i="4"/>
  <c r="N11" i="4"/>
  <c r="M11" i="4"/>
  <c r="N10" i="4"/>
  <c r="N8" i="4"/>
  <c r="N7" i="4"/>
  <c r="N6" i="4"/>
  <c r="N5" i="4"/>
  <c r="M6" i="4"/>
  <c r="M10" i="4"/>
  <c r="M8" i="4"/>
  <c r="M7" i="4"/>
  <c r="M5" i="4"/>
  <c r="M4" i="4"/>
  <c r="M3" i="4"/>
  <c r="M2" i="4"/>
  <c r="N4" i="4"/>
  <c r="N3" i="4"/>
  <c r="N2" i="4"/>
  <c r="O7" i="4" l="1"/>
  <c r="H7" i="4" s="1"/>
  <c r="O8" i="4"/>
  <c r="I8" i="4" s="1"/>
  <c r="O4" i="4"/>
  <c r="I4" i="4" s="1"/>
  <c r="O11" i="4"/>
  <c r="I11" i="4" s="1"/>
  <c r="O10" i="4"/>
  <c r="I10" i="4" s="1"/>
  <c r="O6" i="4"/>
  <c r="O2" i="4"/>
  <c r="O12" i="4"/>
  <c r="H12" i="4" s="1"/>
  <c r="O3" i="4"/>
  <c r="O5" i="4"/>
  <c r="I5" i="4" s="1"/>
  <c r="I12" i="4" l="1"/>
  <c r="H8" i="4"/>
  <c r="H10" i="4"/>
  <c r="I7" i="4"/>
  <c r="H11" i="4"/>
  <c r="H4" i="4"/>
  <c r="I6" i="4"/>
  <c r="H6" i="4"/>
  <c r="H3" i="4"/>
  <c r="I3" i="4"/>
  <c r="H5" i="4"/>
  <c r="H9" i="4"/>
  <c r="I2" i="4"/>
  <c r="H2" i="4"/>
  <c r="I13" i="4" l="1"/>
  <c r="B2" i="4" s="1"/>
  <c r="F10" i="18" s="1"/>
  <c r="H16" i="5" l="1"/>
  <c r="H9" i="5"/>
  <c r="H8" i="5"/>
  <c r="H7" i="5"/>
  <c r="H19" i="5"/>
  <c r="H14" i="5"/>
  <c r="H11" i="5"/>
  <c r="H18" i="5"/>
  <c r="H17" i="5"/>
  <c r="H10" i="5"/>
  <c r="H15" i="5"/>
  <c r="H6" i="5"/>
  <c r="G16" i="5"/>
  <c r="G18" i="5"/>
  <c r="I18" i="5" s="1"/>
  <c r="J18" i="5" s="1"/>
  <c r="E18" i="5" s="1"/>
  <c r="G15" i="5"/>
  <c r="G17" i="5"/>
  <c r="G19" i="5"/>
  <c r="G14" i="5"/>
  <c r="G10" i="5"/>
  <c r="G7" i="5"/>
  <c r="G11" i="5"/>
  <c r="G8" i="5"/>
  <c r="G9" i="5"/>
  <c r="G6" i="5"/>
  <c r="I11" i="5" l="1"/>
  <c r="J11" i="5" s="1"/>
  <c r="E11" i="5" s="1"/>
  <c r="I19" i="5"/>
  <c r="J19" i="5" s="1"/>
  <c r="E19" i="5" s="1"/>
  <c r="I15" i="5"/>
  <c r="J15" i="5" s="1"/>
  <c r="I9" i="5"/>
  <c r="J9" i="5" s="1"/>
  <c r="E9" i="5" s="1"/>
  <c r="I7" i="5"/>
  <c r="J7" i="5" s="1"/>
  <c r="E7" i="5" s="1"/>
  <c r="I17" i="5"/>
  <c r="J17" i="5" s="1"/>
  <c r="E17" i="5" s="1"/>
  <c r="I10" i="5"/>
  <c r="J10" i="5" s="1"/>
  <c r="F10" i="5" s="1"/>
  <c r="I16" i="5"/>
  <c r="J16" i="5" s="1"/>
  <c r="E16" i="5" s="1"/>
  <c r="I14" i="5"/>
  <c r="J14" i="5" s="1"/>
  <c r="E14" i="5" s="1"/>
  <c r="F18" i="5"/>
  <c r="I8" i="5"/>
  <c r="J8" i="5" s="1"/>
  <c r="F8" i="5" s="1"/>
  <c r="I6" i="5"/>
  <c r="J6" i="5" s="1"/>
  <c r="E6" i="5" s="1"/>
  <c r="F11" i="5"/>
  <c r="F19" i="5" l="1"/>
  <c r="F9" i="5"/>
  <c r="E10" i="5"/>
  <c r="F16" i="5"/>
  <c r="F17" i="5"/>
  <c r="F14" i="5"/>
  <c r="F15" i="5"/>
  <c r="E15" i="5"/>
  <c r="F7" i="5"/>
  <c r="E8" i="5"/>
  <c r="F6" i="5"/>
  <c r="F20" i="5" l="1"/>
  <c r="C2" i="5" s="1"/>
  <c r="F11" i="18" s="1"/>
  <c r="F13" i="18" s="1"/>
  <c r="R26" i="18"/>
  <c r="X21" i="18" s="1"/>
  <c r="AC28" i="18" s="1"/>
  <c r="AC29" i="18" s="1"/>
  <c r="N22" i="18"/>
  <c r="AD22" i="18" s="1"/>
  <c r="Q26" i="18"/>
  <c r="W21" i="18" s="1"/>
  <c r="AB28" i="18" s="1"/>
  <c r="AE22" i="18" l="1"/>
  <c r="AF22" i="18" s="1"/>
  <c r="AH22" i="18" s="1"/>
  <c r="AD26" i="18" s="1"/>
  <c r="T26" i="18"/>
  <c r="AB29" i="18"/>
  <c r="S26" i="18"/>
  <c r="U26" i="18" l="1"/>
  <c r="Y21" i="18" s="1"/>
  <c r="Y24" i="18" l="1"/>
  <c r="AD28" i="18" s="1"/>
  <c r="AD29" i="18" s="1"/>
  <c r="AJ29" i="18" s="1"/>
  <c r="H30" i="18" l="1"/>
  <c r="H31" i="18" s="1"/>
  <c r="AJ28" i="18"/>
</calcChain>
</file>

<file path=xl/sharedStrings.xml><?xml version="1.0" encoding="utf-8"?>
<sst xmlns="http://schemas.openxmlformats.org/spreadsheetml/2006/main" count="111" uniqueCount="63">
  <si>
    <t>年齢</t>
    <rPh sb="0" eb="2">
      <t>ネンレイ</t>
    </rPh>
    <phoneticPr fontId="2"/>
  </si>
  <si>
    <t>所得割</t>
    <rPh sb="0" eb="3">
      <t>ショトクワリ</t>
    </rPh>
    <phoneticPr fontId="2"/>
  </si>
  <si>
    <t>均等割</t>
    <rPh sb="0" eb="3">
      <t>キントウワ</t>
    </rPh>
    <phoneticPr fontId="2"/>
  </si>
  <si>
    <t>平等割</t>
    <rPh sb="0" eb="3">
      <t>ビョウドウワリ</t>
    </rPh>
    <phoneticPr fontId="2"/>
  </si>
  <si>
    <t>税率</t>
    <rPh sb="0" eb="2">
      <t>ゼイリツ</t>
    </rPh>
    <phoneticPr fontId="2"/>
  </si>
  <si>
    <t>医療</t>
    <rPh sb="0" eb="2">
      <t>イリョウ</t>
    </rPh>
    <phoneticPr fontId="2"/>
  </si>
  <si>
    <t>介護</t>
    <rPh sb="0" eb="2">
      <t>カイゴ</t>
    </rPh>
    <phoneticPr fontId="2"/>
  </si>
  <si>
    <t>合計</t>
    <rPh sb="0" eb="2">
      <t>ゴウケイ</t>
    </rPh>
    <phoneticPr fontId="2"/>
  </si>
  <si>
    <t>世帯合計</t>
    <rPh sb="0" eb="4">
      <t>セタイゴウケイ</t>
    </rPh>
    <phoneticPr fontId="2"/>
  </si>
  <si>
    <t>収入</t>
    <rPh sb="0" eb="2">
      <t>シュウニュウ</t>
    </rPh>
    <phoneticPr fontId="2"/>
  </si>
  <si>
    <t>～</t>
    <phoneticPr fontId="2"/>
  </si>
  <si>
    <t>給与収入範囲</t>
    <rPh sb="0" eb="2">
      <t>キュウヨ</t>
    </rPh>
    <rPh sb="2" eb="4">
      <t>シュウニュウ</t>
    </rPh>
    <rPh sb="4" eb="6">
      <t>ハンイ</t>
    </rPh>
    <phoneticPr fontId="3"/>
  </si>
  <si>
    <t>給与所得</t>
    <rPh sb="0" eb="2">
      <t>キュウヨ</t>
    </rPh>
    <rPh sb="2" eb="4">
      <t>ショトク</t>
    </rPh>
    <phoneticPr fontId="3"/>
  </si>
  <si>
    <t>所得</t>
    <rPh sb="0" eb="2">
      <t>ショトク</t>
    </rPh>
    <phoneticPr fontId="2"/>
  </si>
  <si>
    <t>65歳未満</t>
    <rPh sb="2" eb="5">
      <t>サイミマン</t>
    </rPh>
    <phoneticPr fontId="5"/>
  </si>
  <si>
    <t>～</t>
    <phoneticPr fontId="5"/>
  </si>
  <si>
    <t>65歳以上</t>
    <rPh sb="2" eb="5">
      <t>サイイジョウ</t>
    </rPh>
    <phoneticPr fontId="5"/>
  </si>
  <si>
    <t>年齢</t>
    <rPh sb="0" eb="2">
      <t>ネンレイ</t>
    </rPh>
    <phoneticPr fontId="5"/>
  </si>
  <si>
    <t>年齢判定</t>
    <rPh sb="0" eb="2">
      <t>ネンレイ</t>
    </rPh>
    <rPh sb="2" eb="4">
      <t>ハンテイ</t>
    </rPh>
    <phoneticPr fontId="5"/>
  </si>
  <si>
    <t>年金</t>
    <rPh sb="0" eb="2">
      <t>ネンキン</t>
    </rPh>
    <phoneticPr fontId="5"/>
  </si>
  <si>
    <t>歳</t>
    <rPh sb="0" eb="1">
      <t>サイ</t>
    </rPh>
    <phoneticPr fontId="5"/>
  </si>
  <si>
    <t>年間収入</t>
    <rPh sb="0" eb="2">
      <t>ネンカン</t>
    </rPh>
    <rPh sb="2" eb="4">
      <t>シュウニュウ</t>
    </rPh>
    <phoneticPr fontId="5"/>
  </si>
  <si>
    <t>所得</t>
    <rPh sb="0" eb="2">
      <t>ショトク</t>
    </rPh>
    <phoneticPr fontId="5"/>
  </si>
  <si>
    <t>給与</t>
    <rPh sb="0" eb="2">
      <t>キュウヨ</t>
    </rPh>
    <phoneticPr fontId="5"/>
  </si>
  <si>
    <t>その他の所得</t>
    <rPh sb="2" eb="3">
      <t>タ</t>
    </rPh>
    <rPh sb="4" eb="6">
      <t>ショトク</t>
    </rPh>
    <phoneticPr fontId="5"/>
  </si>
  <si>
    <t>合計所得</t>
    <rPh sb="0" eb="2">
      <t>ゴウケイ</t>
    </rPh>
    <rPh sb="2" eb="4">
      <t>ショトク</t>
    </rPh>
    <phoneticPr fontId="5"/>
  </si>
  <si>
    <t>※給与や年金が複数ある方は、合計額を入力してください。</t>
    <rPh sb="1" eb="3">
      <t>キュウヨ</t>
    </rPh>
    <rPh sb="4" eb="6">
      <t>ネンキン</t>
    </rPh>
    <rPh sb="7" eb="9">
      <t>フクスウ</t>
    </rPh>
    <rPh sb="11" eb="12">
      <t>カタ</t>
    </rPh>
    <rPh sb="14" eb="16">
      <t>ゴウケイ</t>
    </rPh>
    <rPh sb="16" eb="17">
      <t>ガク</t>
    </rPh>
    <rPh sb="18" eb="20">
      <t>ニュウリョク</t>
    </rPh>
    <phoneticPr fontId="5"/>
  </si>
  <si>
    <t>※その他の所得がある方は、所得の合計を入力してください。</t>
    <rPh sb="3" eb="4">
      <t>タ</t>
    </rPh>
    <rPh sb="5" eb="7">
      <t>ショトク</t>
    </rPh>
    <rPh sb="10" eb="11">
      <t>カタ</t>
    </rPh>
    <rPh sb="13" eb="15">
      <t>ショトク</t>
    </rPh>
    <rPh sb="16" eb="18">
      <t>ゴウケイ</t>
    </rPh>
    <rPh sb="19" eb="21">
      <t>ニュウリョク</t>
    </rPh>
    <phoneticPr fontId="5"/>
  </si>
  <si>
    <t>国保加入者</t>
    <rPh sb="0" eb="5">
      <t>コクホカニュウシャ</t>
    </rPh>
    <phoneticPr fontId="2"/>
  </si>
  <si>
    <t>世帯員　１</t>
    <rPh sb="0" eb="3">
      <t>セタイイン</t>
    </rPh>
    <phoneticPr fontId="2"/>
  </si>
  <si>
    <t>世帯員　２</t>
    <rPh sb="0" eb="3">
      <t>セタイイン</t>
    </rPh>
    <phoneticPr fontId="2"/>
  </si>
  <si>
    <t>世帯員　３</t>
    <rPh sb="0" eb="3">
      <t>セタイイン</t>
    </rPh>
    <phoneticPr fontId="2"/>
  </si>
  <si>
    <t>世帯員　４</t>
    <rPh sb="0" eb="3">
      <t>セタイイン</t>
    </rPh>
    <phoneticPr fontId="2"/>
  </si>
  <si>
    <t>世帯員　５</t>
    <rPh sb="0" eb="3">
      <t>セタイイン</t>
    </rPh>
    <phoneticPr fontId="2"/>
  </si>
  <si>
    <t>■令和７年１月１日現在の年齢を入力してください。</t>
    <phoneticPr fontId="2"/>
  </si>
  <si>
    <t>■令和６年中の収入（その他所得）を入力してください。</t>
    <rPh sb="1" eb="3">
      <t>レイワ</t>
    </rPh>
    <rPh sb="4" eb="6">
      <t>ネンチュウ</t>
    </rPh>
    <rPh sb="7" eb="9">
      <t>シュウニュウ</t>
    </rPh>
    <rPh sb="12" eb="15">
      <t>タショトク</t>
    </rPh>
    <rPh sb="17" eb="19">
      <t>ニュウリョク</t>
    </rPh>
    <phoneticPr fontId="2"/>
  </si>
  <si>
    <t>令和７年度の国保税（年税額）試算額</t>
    <rPh sb="0" eb="2">
      <t>レイワ</t>
    </rPh>
    <rPh sb="3" eb="5">
      <t>ネンド</t>
    </rPh>
    <rPh sb="6" eb="9">
      <t>コクホゼイ</t>
    </rPh>
    <rPh sb="10" eb="12">
      <t>ネンゼイ</t>
    </rPh>
    <rPh sb="12" eb="13">
      <t>ガク</t>
    </rPh>
    <rPh sb="14" eb="17">
      <t>シサンガク</t>
    </rPh>
    <phoneticPr fontId="2"/>
  </si>
  <si>
    <t>1か月あたりの額</t>
    <rPh sb="2" eb="3">
      <t>ゲツ</t>
    </rPh>
    <rPh sb="7" eb="8">
      <t>ガク</t>
    </rPh>
    <phoneticPr fontId="2"/>
  </si>
  <si>
    <t>円</t>
    <rPh sb="0" eb="1">
      <t>エン</t>
    </rPh>
    <phoneticPr fontId="2"/>
  </si>
  <si>
    <t>３．試算結果</t>
    <rPh sb="2" eb="4">
      <t>シサン</t>
    </rPh>
    <rPh sb="4" eb="6">
      <t>ケッカ</t>
    </rPh>
    <phoneticPr fontId="5"/>
  </si>
  <si>
    <t>１．収入額から所得額を出しましょう</t>
    <rPh sb="2" eb="5">
      <t>シュウニュウガク</t>
    </rPh>
    <rPh sb="7" eb="9">
      <t>ショトク</t>
    </rPh>
    <rPh sb="8" eb="9">
      <t>エ</t>
    </rPh>
    <rPh sb="9" eb="10">
      <t>ガク</t>
    </rPh>
    <rPh sb="11" eb="12">
      <t>ダ</t>
    </rPh>
    <phoneticPr fontId="5"/>
  </si>
  <si>
    <t>２．所得額等を入力しましょう</t>
    <rPh sb="2" eb="5">
      <t>ショトクガク</t>
    </rPh>
    <rPh sb="5" eb="6">
      <t>トウ</t>
    </rPh>
    <rPh sb="7" eb="9">
      <t>ニュウリョク</t>
    </rPh>
    <phoneticPr fontId="5"/>
  </si>
  <si>
    <t>差</t>
    <rPh sb="0" eb="1">
      <t>サ</t>
    </rPh>
    <phoneticPr fontId="2"/>
  </si>
  <si>
    <t>40↑</t>
    <phoneticPr fontId="2"/>
  </si>
  <si>
    <t>65↓</t>
    <phoneticPr fontId="2"/>
  </si>
  <si>
    <t>介護個別計算</t>
    <rPh sb="0" eb="2">
      <t>カイゴ</t>
    </rPh>
    <rPh sb="2" eb="4">
      <t>コベツ</t>
    </rPh>
    <rPh sb="4" eb="6">
      <t>ケイサン</t>
    </rPh>
    <phoneticPr fontId="2"/>
  </si>
  <si>
    <t>後期</t>
    <rPh sb="0" eb="2">
      <t>コウキ</t>
    </rPh>
    <phoneticPr fontId="2"/>
  </si>
  <si>
    <t>ベース</t>
    <phoneticPr fontId="2"/>
  </si>
  <si>
    <t>基本情報</t>
    <rPh sb="0" eb="4">
      <t>キホンジョウホウ</t>
    </rPh>
    <phoneticPr fontId="2"/>
  </si>
  <si>
    <t>↑さわるな</t>
    <phoneticPr fontId="2"/>
  </si>
  <si>
    <t>介護カウント</t>
    <rPh sb="0" eb="2">
      <t>カイゴ</t>
    </rPh>
    <phoneticPr fontId="2"/>
  </si>
  <si>
    <t>後期カウント</t>
    <rPh sb="0" eb="2">
      <t>コウキ</t>
    </rPh>
    <phoneticPr fontId="2"/>
  </si>
  <si>
    <t>医療カウント</t>
    <rPh sb="0" eb="2">
      <t>イリョウ</t>
    </rPh>
    <phoneticPr fontId="2"/>
  </si>
  <si>
    <t>所得-基礎控除</t>
    <rPh sb="0" eb="2">
      <t>ショトク</t>
    </rPh>
    <rPh sb="3" eb="7">
      <t>キソコウジョ</t>
    </rPh>
    <phoneticPr fontId="2"/>
  </si>
  <si>
    <t>上限判定</t>
    <rPh sb="0" eb="4">
      <t>ジョウゲンハンテイ</t>
    </rPh>
    <phoneticPr fontId="2"/>
  </si>
  <si>
    <t>①均等割</t>
    <rPh sb="1" eb="4">
      <t>キントウワ</t>
    </rPh>
    <phoneticPr fontId="2"/>
  </si>
  <si>
    <t>②平等割</t>
    <rPh sb="1" eb="4">
      <t>ビョウドウワリ</t>
    </rPh>
    <phoneticPr fontId="2"/>
  </si>
  <si>
    <t>③所得割</t>
    <rPh sb="1" eb="4">
      <t>ショトクワリ</t>
    </rPh>
    <phoneticPr fontId="2"/>
  </si>
  <si>
    <t>①+②+③</t>
    <phoneticPr fontId="2"/>
  </si>
  <si>
    <t>⇒</t>
    <phoneticPr fontId="2"/>
  </si>
  <si>
    <t>令和７年度概算国保税試算シート</t>
    <rPh sb="0" eb="2">
      <t>レイワ</t>
    </rPh>
    <rPh sb="3" eb="5">
      <t>ネンド</t>
    </rPh>
    <rPh sb="5" eb="7">
      <t>ガイサン</t>
    </rPh>
    <rPh sb="7" eb="9">
      <t>コクホ</t>
    </rPh>
    <rPh sb="9" eb="10">
      <t>ゼイ</t>
    </rPh>
    <rPh sb="10" eb="12">
      <t>シサン</t>
    </rPh>
    <phoneticPr fontId="2"/>
  </si>
  <si>
    <t>■国保加入する世帯員の年齢（0～74歳）と所得を入力してください。</t>
    <rPh sb="1" eb="5">
      <t>コクホカニュウ</t>
    </rPh>
    <rPh sb="7" eb="10">
      <t>セタイイン</t>
    </rPh>
    <rPh sb="11" eb="13">
      <t>ネンレイ</t>
    </rPh>
    <rPh sb="18" eb="19">
      <t>サイ</t>
    </rPh>
    <rPh sb="21" eb="23">
      <t>ショトク</t>
    </rPh>
    <rPh sb="24" eb="26">
      <t>ニュウリョク</t>
    </rPh>
    <phoneticPr fontId="2"/>
  </si>
  <si>
    <t>　◎この早見表は湯沢市における概算の保険税額です。実際の保険税額とは異なる場合があります。
　◎各種軽減賦課（７・５・２割の減額など）を反映していません。
　◎所得金額調整控除（最大10万円控除）は加味していません。
　◎R7課税限度額は１，０９０，０００円です。
　　内訳　医療分：660,000円、支援分：260,000円、介護分：170,000円
　◎任意継続保険と比較しやすいよう１か月あたりの額を記載しておりますが、湯沢市の国保税は年８回払いです。
　◎お気づきの点等ありましたら税務課市民税班（0183-55-8094）までお知らせください。【R7年11月発行】</t>
    <rPh sb="48" eb="50">
      <t>カクシュ</t>
    </rPh>
    <rPh sb="128" eb="129">
      <t>エン</t>
    </rPh>
    <rPh sb="135" eb="137">
      <t>ウチワケ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</si>
</sst>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8"/>
      <color theme="0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2" tint="-0.249977111117893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indexed="17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i/>
      <sz val="14"/>
      <color rgb="FFFF0000"/>
      <name val="BIZ UDPゴシック"/>
      <family val="3"/>
      <charset val="128"/>
    </font>
    <font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b/>
      <i/>
      <sz val="16"/>
      <color theme="0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2" fillId="0" borderId="0"/>
  </cellStyleXfs>
  <cellXfs count="160">
    <xf numFmtId="0" fontId="0" fillId="0" borderId="0" xfId="0"/>
    <xf numFmtId="0" fontId="10" fillId="0" borderId="0" xfId="0" applyFont="1" applyAlignment="1">
      <alignment vertical="center"/>
    </xf>
    <xf numFmtId="0" fontId="14" fillId="3" borderId="13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 vertical="center"/>
      <protection hidden="1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38" fontId="10" fillId="6" borderId="1" xfId="1" applyFont="1" applyFill="1" applyBorder="1" applyAlignment="1" applyProtection="1">
      <alignment vertical="center"/>
      <protection hidden="1"/>
    </xf>
    <xf numFmtId="38" fontId="10" fillId="0" borderId="1" xfId="0" applyNumberFormat="1" applyFont="1" applyFill="1" applyBorder="1" applyAlignment="1" applyProtection="1">
      <alignment horizontal="right" vertical="center"/>
      <protection hidden="1"/>
    </xf>
    <xf numFmtId="38" fontId="10" fillId="2" borderId="10" xfId="2" applyFont="1" applyFill="1" applyBorder="1" applyAlignment="1" applyProtection="1">
      <alignment horizontal="right" vertical="center"/>
      <protection hidden="1"/>
    </xf>
    <xf numFmtId="38" fontId="10" fillId="2" borderId="12" xfId="2" applyFont="1" applyFill="1" applyBorder="1" applyAlignment="1" applyProtection="1">
      <alignment horizontal="center" vertical="center"/>
      <protection hidden="1"/>
    </xf>
    <xf numFmtId="38" fontId="10" fillId="2" borderId="11" xfId="2" applyFont="1" applyFill="1" applyBorder="1" applyAlignment="1" applyProtection="1">
      <alignment horizontal="right" vertical="center"/>
      <protection hidden="1"/>
    </xf>
    <xf numFmtId="0" fontId="10" fillId="2" borderId="12" xfId="0" applyFont="1" applyFill="1" applyBorder="1" applyAlignment="1" applyProtection="1">
      <alignment horizontal="right" vertical="center"/>
      <protection hidden="1"/>
    </xf>
    <xf numFmtId="0" fontId="10" fillId="2" borderId="11" xfId="0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2" borderId="2" xfId="0" applyFont="1" applyFill="1" applyBorder="1" applyAlignment="1" applyProtection="1">
      <alignment vertical="center"/>
      <protection hidden="1"/>
    </xf>
    <xf numFmtId="0" fontId="10" fillId="6" borderId="2" xfId="0" applyFont="1" applyFill="1" applyBorder="1" applyAlignment="1" applyProtection="1">
      <alignment vertical="center"/>
      <protection hidden="1"/>
    </xf>
    <xf numFmtId="0" fontId="10" fillId="0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10" fillId="0" borderId="0" xfId="0" applyFont="1" applyProtection="1">
      <protection hidden="1"/>
    </xf>
    <xf numFmtId="0" fontId="10" fillId="2" borderId="1" xfId="0" applyFont="1" applyFill="1" applyBorder="1" applyAlignment="1" applyProtection="1">
      <alignment vertical="center"/>
      <protection hidden="1"/>
    </xf>
    <xf numFmtId="38" fontId="10" fillId="6" borderId="1" xfId="2" applyFont="1" applyFill="1" applyBorder="1" applyAlignment="1" applyProtection="1">
      <alignment vertical="center"/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10" fillId="2" borderId="7" xfId="0" applyFont="1" applyFill="1" applyBorder="1" applyAlignment="1" applyProtection="1">
      <alignment vertical="center"/>
      <protection hidden="1"/>
    </xf>
    <xf numFmtId="38" fontId="10" fillId="2" borderId="10" xfId="2" applyFont="1" applyFill="1" applyBorder="1" applyAlignment="1" applyProtection="1">
      <alignment vertical="center"/>
      <protection hidden="1"/>
    </xf>
    <xf numFmtId="0" fontId="10" fillId="2" borderId="12" xfId="0" applyFont="1" applyFill="1" applyBorder="1" applyAlignment="1" applyProtection="1">
      <alignment horizontal="center" vertical="center"/>
      <protection hidden="1"/>
    </xf>
    <xf numFmtId="38" fontId="10" fillId="2" borderId="12" xfId="2" applyFont="1" applyFill="1" applyBorder="1" applyAlignment="1" applyProtection="1">
      <alignment vertical="center"/>
      <protection hidden="1"/>
    </xf>
    <xf numFmtId="0" fontId="10" fillId="2" borderId="10" xfId="0" applyFont="1" applyFill="1" applyBorder="1" applyAlignment="1" applyProtection="1">
      <alignment horizontal="right" vertical="center"/>
      <protection hidden="1"/>
    </xf>
    <xf numFmtId="38" fontId="10" fillId="2" borderId="11" xfId="2" applyFont="1" applyFill="1" applyBorder="1" applyAlignment="1" applyProtection="1">
      <alignment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right" vertical="center"/>
      <protection hidden="1"/>
    </xf>
    <xf numFmtId="38" fontId="10" fillId="2" borderId="4" xfId="0" applyNumberFormat="1" applyFont="1" applyFill="1" applyBorder="1" applyAlignment="1" applyProtection="1">
      <alignment vertical="center"/>
      <protection hidden="1"/>
    </xf>
    <xf numFmtId="38" fontId="10" fillId="2" borderId="0" xfId="0" applyNumberFormat="1" applyFont="1" applyFill="1" applyBorder="1" applyAlignment="1" applyProtection="1">
      <alignment vertical="center"/>
      <protection hidden="1"/>
    </xf>
    <xf numFmtId="0" fontId="6" fillId="3" borderId="20" xfId="0" applyFont="1" applyFill="1" applyBorder="1" applyAlignment="1" applyProtection="1">
      <alignment vertical="center"/>
      <protection locked="0"/>
    </xf>
    <xf numFmtId="0" fontId="6" fillId="3" borderId="21" xfId="0" applyFont="1" applyFill="1" applyBorder="1" applyAlignment="1" applyProtection="1">
      <alignment vertical="center"/>
      <protection locked="0"/>
    </xf>
    <xf numFmtId="0" fontId="6" fillId="3" borderId="37" xfId="0" applyFont="1" applyFill="1" applyBorder="1" applyAlignment="1" applyProtection="1">
      <alignment vertical="center"/>
      <protection locked="0"/>
    </xf>
    <xf numFmtId="0" fontId="11" fillId="2" borderId="3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0" fontId="11" fillId="2" borderId="31" xfId="0" applyFont="1" applyFill="1" applyBorder="1" applyAlignment="1" applyProtection="1">
      <alignment vertical="center"/>
    </xf>
    <xf numFmtId="0" fontId="17" fillId="2" borderId="30" xfId="0" applyFont="1" applyFill="1" applyBorder="1" applyAlignment="1" applyProtection="1">
      <alignment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31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vertical="center"/>
    </xf>
    <xf numFmtId="0" fontId="7" fillId="2" borderId="30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 vertical="center"/>
    </xf>
    <xf numFmtId="0" fontId="7" fillId="2" borderId="31" xfId="0" applyFont="1" applyFill="1" applyBorder="1" applyAlignment="1" applyProtection="1">
      <alignment horizontal="left" vertical="center"/>
    </xf>
    <xf numFmtId="0" fontId="6" fillId="2" borderId="30" xfId="0" applyFont="1" applyFill="1" applyBorder="1" applyAlignment="1" applyProtection="1">
      <alignment vertical="center"/>
    </xf>
    <xf numFmtId="0" fontId="6" fillId="2" borderId="31" xfId="0" applyFont="1" applyFill="1" applyBorder="1" applyAlignment="1" applyProtection="1">
      <alignment vertical="center"/>
    </xf>
    <xf numFmtId="0" fontId="11" fillId="5" borderId="10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left" vertical="center"/>
    </xf>
    <xf numFmtId="0" fontId="6" fillId="5" borderId="2" xfId="0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vertical="center" shrinkToFit="1"/>
    </xf>
    <xf numFmtId="38" fontId="6" fillId="5" borderId="11" xfId="1" applyFont="1" applyFill="1" applyBorder="1" applyAlignment="1" applyProtection="1">
      <alignment horizontal="right" vertical="center" shrinkToFit="1"/>
    </xf>
    <xf numFmtId="38" fontId="6" fillId="2" borderId="13" xfId="1" applyFont="1" applyFill="1" applyBorder="1" applyAlignment="1" applyProtection="1">
      <alignment horizontal="right" vertical="center" shrinkToFit="1"/>
    </xf>
    <xf numFmtId="38" fontId="6" fillId="2" borderId="1" xfId="1" applyFont="1" applyFill="1" applyBorder="1" applyAlignment="1" applyProtection="1">
      <alignment horizontal="right" vertical="center" shrinkToFit="1"/>
    </xf>
    <xf numFmtId="0" fontId="6" fillId="0" borderId="1" xfId="0" applyFont="1" applyBorder="1" applyAlignment="1" applyProtection="1">
      <alignment vertical="center" shrinkToFit="1"/>
    </xf>
    <xf numFmtId="38" fontId="6" fillId="0" borderId="1" xfId="1" applyFont="1" applyBorder="1" applyAlignment="1" applyProtection="1">
      <alignment vertical="center" shrinkToFit="1"/>
    </xf>
    <xf numFmtId="0" fontId="6" fillId="0" borderId="2" xfId="0" applyFont="1" applyBorder="1" applyAlignment="1" applyProtection="1">
      <alignment vertical="center" shrinkToFit="1"/>
    </xf>
    <xf numFmtId="38" fontId="6" fillId="0" borderId="2" xfId="1" applyFont="1" applyBorder="1" applyAlignment="1" applyProtection="1">
      <alignment vertical="center" shrinkToFit="1"/>
    </xf>
    <xf numFmtId="38" fontId="6" fillId="2" borderId="2" xfId="1" applyFont="1" applyFill="1" applyBorder="1" applyAlignment="1" applyProtection="1">
      <alignment horizontal="right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38" fontId="6" fillId="0" borderId="13" xfId="0" applyNumberFormat="1" applyFont="1" applyBorder="1" applyAlignment="1" applyProtection="1">
      <alignment vertical="center" shrinkToFit="1"/>
    </xf>
    <xf numFmtId="38" fontId="6" fillId="0" borderId="13" xfId="0" applyNumberFormat="1" applyFont="1" applyBorder="1" applyAlignment="1" applyProtection="1">
      <alignment horizontal="right" vertical="center" shrinkToFit="1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 shrinkToFit="1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 shrinkToFit="1"/>
    </xf>
    <xf numFmtId="38" fontId="6" fillId="2" borderId="0" xfId="1" applyFont="1" applyFill="1" applyBorder="1" applyAlignment="1" applyProtection="1">
      <alignment horizontal="right" vertical="center" shrinkToFit="1"/>
    </xf>
    <xf numFmtId="14" fontId="6" fillId="0" borderId="0" xfId="0" applyNumberFormat="1" applyFont="1" applyAlignment="1" applyProtection="1">
      <alignment vertical="center" shrinkToFit="1"/>
    </xf>
    <xf numFmtId="10" fontId="6" fillId="0" borderId="0" xfId="3" applyNumberFormat="1" applyFont="1" applyAlignment="1" applyProtection="1">
      <alignment vertical="center" shrinkToFit="1"/>
    </xf>
    <xf numFmtId="0" fontId="6" fillId="5" borderId="10" xfId="0" applyFont="1" applyFill="1" applyBorder="1" applyAlignment="1" applyProtection="1">
      <alignment horizontal="center" vertical="center" shrinkToFit="1"/>
    </xf>
    <xf numFmtId="0" fontId="6" fillId="5" borderId="1" xfId="0" applyFont="1" applyFill="1" applyBorder="1" applyAlignment="1" applyProtection="1">
      <alignment horizontal="center" vertical="center" shrinkToFit="1"/>
    </xf>
    <xf numFmtId="0" fontId="6" fillId="0" borderId="2" xfId="0" applyFont="1" applyBorder="1" applyAlignment="1" applyProtection="1">
      <alignment horizontal="center" vertical="center" shrinkToFit="1"/>
    </xf>
    <xf numFmtId="38" fontId="6" fillId="5" borderId="1" xfId="1" applyFont="1" applyFill="1" applyBorder="1" applyAlignment="1" applyProtection="1">
      <alignment horizontal="center" vertical="center" shrinkToFit="1"/>
    </xf>
    <xf numFmtId="38" fontId="6" fillId="5" borderId="0" xfId="1" applyFont="1" applyFill="1" applyBorder="1" applyAlignment="1" applyProtection="1">
      <alignment horizontal="center" vertical="center" shrinkToFit="1"/>
    </xf>
    <xf numFmtId="38" fontId="6" fillId="5" borderId="2" xfId="1" applyFont="1" applyFill="1" applyBorder="1" applyAlignment="1" applyProtection="1">
      <alignment horizontal="center" vertical="center" shrinkToFit="1"/>
    </xf>
    <xf numFmtId="38" fontId="6" fillId="5" borderId="10" xfId="1" applyFont="1" applyFill="1" applyBorder="1" applyAlignment="1" applyProtection="1">
      <alignment horizontal="center" vertical="center" shrinkToFit="1"/>
    </xf>
    <xf numFmtId="10" fontId="6" fillId="0" borderId="1" xfId="3" applyNumberFormat="1" applyFont="1" applyBorder="1" applyAlignment="1" applyProtection="1">
      <alignment vertical="center" shrinkToFit="1"/>
    </xf>
    <xf numFmtId="38" fontId="6" fillId="5" borderId="4" xfId="1" applyFont="1" applyFill="1" applyBorder="1" applyAlignment="1" applyProtection="1">
      <alignment horizontal="right" vertical="center" shrinkToFit="1"/>
    </xf>
    <xf numFmtId="0" fontId="6" fillId="0" borderId="10" xfId="0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vertical="center" shrinkToFit="1"/>
    </xf>
    <xf numFmtId="38" fontId="6" fillId="5" borderId="0" xfId="1" applyFont="1" applyFill="1" applyBorder="1" applyAlignment="1" applyProtection="1">
      <alignment vertical="center" shrinkToFit="1"/>
    </xf>
    <xf numFmtId="0" fontId="6" fillId="0" borderId="0" xfId="0" applyFont="1" applyBorder="1" applyAlignment="1" applyProtection="1">
      <alignment horizontal="center" vertical="center" shrinkToFit="1"/>
    </xf>
    <xf numFmtId="38" fontId="6" fillId="0" borderId="0" xfId="0" applyNumberFormat="1" applyFont="1" applyAlignment="1" applyProtection="1">
      <alignment vertical="center" shrinkToFit="1"/>
    </xf>
    <xf numFmtId="0" fontId="11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vertical="center"/>
    </xf>
    <xf numFmtId="38" fontId="20" fillId="6" borderId="25" xfId="0" applyNumberFormat="1" applyFont="1" applyFill="1" applyBorder="1" applyAlignment="1" applyProtection="1">
      <alignment vertical="center"/>
    </xf>
    <xf numFmtId="38" fontId="6" fillId="0" borderId="23" xfId="0" applyNumberFormat="1" applyFont="1" applyBorder="1" applyAlignment="1" applyProtection="1">
      <alignment horizontal="right" vertical="center" shrinkToFit="1"/>
    </xf>
    <xf numFmtId="38" fontId="6" fillId="0" borderId="24" xfId="0" applyNumberFormat="1" applyFont="1" applyBorder="1" applyAlignment="1" applyProtection="1">
      <alignment horizontal="right" vertical="center" shrinkToFit="1"/>
    </xf>
    <xf numFmtId="38" fontId="6" fillId="0" borderId="25" xfId="0" applyNumberFormat="1" applyFont="1" applyBorder="1" applyAlignment="1" applyProtection="1">
      <alignment horizontal="right" vertical="center" shrinkToFit="1"/>
    </xf>
    <xf numFmtId="0" fontId="11" fillId="5" borderId="10" xfId="0" applyFont="1" applyFill="1" applyBorder="1" applyAlignment="1" applyProtection="1">
      <alignment horizontal="center" vertical="center"/>
    </xf>
    <xf numFmtId="0" fontId="11" fillId="5" borderId="4" xfId="0" applyFont="1" applyFill="1" applyBorder="1" applyAlignment="1" applyProtection="1">
      <alignment horizontal="center" vertical="center"/>
    </xf>
    <xf numFmtId="0" fontId="11" fillId="5" borderId="5" xfId="0" applyFont="1" applyFill="1" applyBorder="1" applyAlignment="1" applyProtection="1">
      <alignment horizontal="center" vertical="center"/>
    </xf>
    <xf numFmtId="0" fontId="11" fillId="5" borderId="1" xfId="0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horizontal="left" vertical="center"/>
    </xf>
    <xf numFmtId="0" fontId="7" fillId="4" borderId="27" xfId="0" applyFont="1" applyFill="1" applyBorder="1" applyAlignment="1" applyProtection="1">
      <alignment horizontal="left" vertical="center"/>
    </xf>
    <xf numFmtId="0" fontId="7" fillId="4" borderId="28" xfId="0" applyFont="1" applyFill="1" applyBorder="1" applyAlignment="1" applyProtection="1">
      <alignment horizontal="left" vertical="center"/>
    </xf>
    <xf numFmtId="0" fontId="7" fillId="4" borderId="29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left" vertical="center"/>
    </xf>
    <xf numFmtId="38" fontId="14" fillId="3" borderId="16" xfId="2" applyFont="1" applyFill="1" applyBorder="1" applyAlignment="1" applyProtection="1">
      <alignment vertical="center"/>
      <protection locked="0"/>
    </xf>
    <xf numFmtId="0" fontId="14" fillId="3" borderId="17" xfId="0" applyFont="1" applyFill="1" applyBorder="1" applyAlignment="1" applyProtection="1">
      <alignment vertical="center"/>
      <protection locked="0"/>
    </xf>
    <xf numFmtId="38" fontId="14" fillId="5" borderId="11" xfId="2" applyFont="1" applyFill="1" applyBorder="1" applyAlignment="1" applyProtection="1">
      <alignment vertical="center"/>
    </xf>
    <xf numFmtId="0" fontId="14" fillId="5" borderId="1" xfId="0" applyFont="1" applyFill="1" applyBorder="1" applyAlignment="1" applyProtection="1">
      <alignment vertical="center"/>
    </xf>
    <xf numFmtId="38" fontId="14" fillId="3" borderId="8" xfId="2" applyFont="1" applyFill="1" applyBorder="1" applyAlignment="1" applyProtection="1">
      <alignment vertical="center"/>
      <protection locked="0"/>
    </xf>
    <xf numFmtId="0" fontId="14" fillId="3" borderId="9" xfId="0" applyFont="1" applyFill="1" applyBorder="1" applyAlignment="1" applyProtection="1">
      <alignment vertical="center"/>
      <protection locked="0"/>
    </xf>
    <xf numFmtId="38" fontId="14" fillId="5" borderId="5" xfId="2" applyFont="1" applyFill="1" applyBorder="1" applyAlignment="1" applyProtection="1">
      <alignment vertical="center"/>
    </xf>
    <xf numFmtId="0" fontId="14" fillId="5" borderId="2" xfId="0" applyFont="1" applyFill="1" applyBorder="1" applyAlignment="1" applyProtection="1">
      <alignment vertical="center"/>
    </xf>
    <xf numFmtId="0" fontId="11" fillId="5" borderId="3" xfId="0" applyFont="1" applyFill="1" applyBorder="1" applyAlignment="1" applyProtection="1">
      <alignment horizontal="center" vertical="center"/>
    </xf>
    <xf numFmtId="0" fontId="11" fillId="5" borderId="6" xfId="0" applyFont="1" applyFill="1" applyBorder="1" applyAlignment="1" applyProtection="1">
      <alignment horizontal="center" vertical="center"/>
    </xf>
    <xf numFmtId="38" fontId="15" fillId="3" borderId="14" xfId="2" applyFont="1" applyFill="1" applyBorder="1" applyAlignment="1" applyProtection="1">
      <alignment horizontal="right" vertical="center"/>
      <protection locked="0"/>
    </xf>
    <xf numFmtId="38" fontId="15" fillId="3" borderId="15" xfId="2" applyFont="1" applyFill="1" applyBorder="1" applyAlignment="1" applyProtection="1">
      <alignment horizontal="right" vertical="center"/>
      <protection locked="0"/>
    </xf>
    <xf numFmtId="38" fontId="16" fillId="5" borderId="3" xfId="0" applyNumberFormat="1" applyFont="1" applyFill="1" applyBorder="1" applyAlignment="1" applyProtection="1">
      <alignment vertical="center"/>
    </xf>
    <xf numFmtId="0" fontId="16" fillId="5" borderId="3" xfId="0" applyFont="1" applyFill="1" applyBorder="1" applyAlignment="1" applyProtection="1">
      <alignment vertical="center"/>
    </xf>
    <xf numFmtId="0" fontId="19" fillId="2" borderId="0" xfId="0" applyFont="1" applyFill="1" applyBorder="1" applyAlignment="1" applyProtection="1">
      <alignment horizontal="left" vertical="center"/>
    </xf>
    <xf numFmtId="0" fontId="7" fillId="4" borderId="30" xfId="0" applyFont="1" applyFill="1" applyBorder="1" applyAlignment="1" applyProtection="1">
      <alignment horizontal="left" vertical="center"/>
    </xf>
    <xf numFmtId="0" fontId="7" fillId="4" borderId="0" xfId="0" applyFont="1" applyFill="1" applyBorder="1" applyAlignment="1" applyProtection="1">
      <alignment horizontal="left" vertical="center"/>
    </xf>
    <xf numFmtId="0" fontId="7" fillId="4" borderId="31" xfId="0" applyFont="1" applyFill="1" applyBorder="1" applyAlignment="1" applyProtection="1">
      <alignment horizontal="left" vertical="center"/>
    </xf>
    <xf numFmtId="0" fontId="6" fillId="5" borderId="10" xfId="0" applyFont="1" applyFill="1" applyBorder="1" applyAlignment="1" applyProtection="1">
      <alignment horizontal="center" vertical="center"/>
    </xf>
    <xf numFmtId="0" fontId="6" fillId="5" borderId="12" xfId="0" applyFont="1" applyFill="1" applyBorder="1" applyAlignment="1" applyProtection="1">
      <alignment horizontal="center" vertical="center"/>
    </xf>
    <xf numFmtId="38" fontId="6" fillId="3" borderId="22" xfId="1" applyFont="1" applyFill="1" applyBorder="1" applyAlignment="1" applyProtection="1">
      <alignment horizontal="right" vertical="center"/>
      <protection locked="0"/>
    </xf>
    <xf numFmtId="38" fontId="6" fillId="3" borderId="18" xfId="1" applyFont="1" applyFill="1" applyBorder="1" applyAlignment="1" applyProtection="1">
      <alignment horizontal="right" vertical="center"/>
      <protection locked="0"/>
    </xf>
    <xf numFmtId="0" fontId="17" fillId="2" borderId="31" xfId="0" applyFont="1" applyFill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center" vertical="center" shrinkToFit="1"/>
    </xf>
    <xf numFmtId="0" fontId="6" fillId="0" borderId="12" xfId="0" applyFont="1" applyBorder="1" applyAlignment="1" applyProtection="1">
      <alignment horizontal="center" vertical="center" shrinkToFit="1"/>
    </xf>
    <xf numFmtId="0" fontId="6" fillId="0" borderId="11" xfId="0" applyFont="1" applyBorder="1" applyAlignment="1" applyProtection="1">
      <alignment horizontal="center" vertical="center" shrinkToFit="1"/>
    </xf>
    <xf numFmtId="38" fontId="6" fillId="3" borderId="17" xfId="1" applyFont="1" applyFill="1" applyBorder="1" applyAlignment="1" applyProtection="1">
      <alignment horizontal="right" vertical="center"/>
      <protection locked="0"/>
    </xf>
    <xf numFmtId="38" fontId="6" fillId="3" borderId="19" xfId="1" applyFont="1" applyFill="1" applyBorder="1" applyAlignment="1" applyProtection="1">
      <alignment horizontal="right" vertical="center"/>
      <protection locked="0"/>
    </xf>
    <xf numFmtId="0" fontId="6" fillId="5" borderId="11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</xf>
    <xf numFmtId="0" fontId="9" fillId="0" borderId="3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31" xfId="0" applyFont="1" applyBorder="1" applyAlignment="1" applyProtection="1">
      <alignment horizontal="left" vertical="center" wrapText="1"/>
    </xf>
    <xf numFmtId="0" fontId="9" fillId="0" borderId="32" xfId="0" applyFont="1" applyBorder="1" applyAlignment="1" applyProtection="1">
      <alignment horizontal="left" vertical="center" wrapText="1"/>
    </xf>
    <xf numFmtId="0" fontId="9" fillId="0" borderId="33" xfId="0" applyFont="1" applyBorder="1" applyAlignment="1" applyProtection="1">
      <alignment horizontal="left" vertical="center" wrapText="1"/>
    </xf>
    <xf numFmtId="0" fontId="9" fillId="0" borderId="34" xfId="0" applyFont="1" applyBorder="1" applyAlignment="1" applyProtection="1">
      <alignment horizontal="left" vertical="center" wrapText="1"/>
    </xf>
    <xf numFmtId="0" fontId="18" fillId="2" borderId="10" xfId="0" applyFont="1" applyFill="1" applyBorder="1" applyAlignment="1" applyProtection="1">
      <alignment horizontal="left" vertical="center"/>
    </xf>
    <xf numFmtId="0" fontId="18" fillId="2" borderId="12" xfId="0" applyFont="1" applyFill="1" applyBorder="1" applyAlignment="1" applyProtection="1">
      <alignment horizontal="left" vertical="center"/>
    </xf>
    <xf numFmtId="0" fontId="18" fillId="2" borderId="26" xfId="0" applyFont="1" applyFill="1" applyBorder="1" applyAlignment="1" applyProtection="1">
      <alignment horizontal="left" vertical="center"/>
    </xf>
    <xf numFmtId="38" fontId="20" fillId="6" borderId="23" xfId="0" applyNumberFormat="1" applyFont="1" applyFill="1" applyBorder="1" applyAlignment="1" applyProtection="1">
      <alignment horizontal="right" vertical="center" shrinkToFit="1"/>
    </xf>
    <xf numFmtId="38" fontId="20" fillId="6" borderId="24" xfId="0" applyNumberFormat="1" applyFont="1" applyFill="1" applyBorder="1" applyAlignment="1" applyProtection="1">
      <alignment horizontal="right" vertical="center" shrinkToFit="1"/>
    </xf>
    <xf numFmtId="38" fontId="6" fillId="3" borderId="9" xfId="1" applyFont="1" applyFill="1" applyBorder="1" applyAlignment="1" applyProtection="1">
      <alignment horizontal="right" vertical="center"/>
      <protection locked="0"/>
    </xf>
    <xf numFmtId="38" fontId="6" fillId="3" borderId="36" xfId="1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 applyProtection="1">
      <alignment horizontal="center" vertical="center"/>
    </xf>
    <xf numFmtId="38" fontId="6" fillId="2" borderId="0" xfId="1" applyFont="1" applyFill="1" applyBorder="1" applyAlignment="1" applyProtection="1">
      <alignment horizontal="right" vertical="center"/>
    </xf>
    <xf numFmtId="0" fontId="6" fillId="5" borderId="4" xfId="0" applyFont="1" applyFill="1" applyBorder="1" applyAlignment="1" applyProtection="1">
      <alignment horizontal="center" vertical="center" shrinkToFit="1"/>
    </xf>
    <xf numFmtId="0" fontId="6" fillId="0" borderId="35" xfId="0" applyFont="1" applyBorder="1" applyAlignment="1" applyProtection="1">
      <alignment horizontal="center" vertical="center" shrinkToFit="1"/>
    </xf>
    <xf numFmtId="38" fontId="10" fillId="0" borderId="4" xfId="0" applyNumberFormat="1" applyFont="1" applyFill="1" applyBorder="1" applyAlignment="1" applyProtection="1">
      <alignment horizontal="right" vertical="center"/>
      <protection hidden="1"/>
    </xf>
    <xf numFmtId="0" fontId="10" fillId="0" borderId="4" xfId="0" applyFont="1" applyFill="1" applyBorder="1" applyAlignment="1" applyProtection="1">
      <alignment horizontal="right" vertical="center"/>
      <protection hidden="1"/>
    </xf>
    <xf numFmtId="38" fontId="10" fillId="2" borderId="12" xfId="2" applyFont="1" applyFill="1" applyBorder="1" applyAlignment="1" applyProtection="1">
      <alignment vertical="center"/>
      <protection hidden="1"/>
    </xf>
    <xf numFmtId="38" fontId="10" fillId="2" borderId="11" xfId="2" applyFont="1" applyFill="1" applyBorder="1" applyAlignment="1" applyProtection="1">
      <alignment vertical="center"/>
      <protection hidden="1"/>
    </xf>
    <xf numFmtId="0" fontId="10" fillId="0" borderId="7" xfId="0" applyFont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Border="1" applyAlignment="1" applyProtection="1">
      <alignment horizontal="center" vertical="center"/>
      <protection hidden="1"/>
    </xf>
    <xf numFmtId="38" fontId="10" fillId="0" borderId="10" xfId="2" applyFont="1" applyFill="1" applyBorder="1" applyAlignment="1" applyProtection="1">
      <alignment horizontal="center" vertical="center"/>
      <protection hidden="1"/>
    </xf>
    <xf numFmtId="38" fontId="10" fillId="0" borderId="11" xfId="2" applyFont="1" applyFill="1" applyBorder="1" applyAlignment="1" applyProtection="1">
      <alignment horizontal="center" vertical="center"/>
      <protection hidden="1"/>
    </xf>
  </cellXfs>
  <cellStyles count="5">
    <cellStyle name="Excel Built-in Explanatory Text" xfId="4" xr:uid="{BE2D1D51-7AED-4F15-A24B-CE649719D2A2}"/>
    <cellStyle name="パーセント" xfId="3" builtinId="5"/>
    <cellStyle name="桁区切り" xfId="1" builtinId="6"/>
    <cellStyle name="桁区切り 2" xfId="2" xr:uid="{00000000-0005-0000-0000-000002000000}"/>
    <cellStyle name="標準" xfId="0" builtinId="0"/>
  </cellStyles>
  <dxfs count="0"/>
  <tableStyles count="0" defaultTableStyle="TableStyleMedium2" defaultPivotStyle="PivotStyleLight16"/>
  <colors>
    <mruColors>
      <color rgb="FFCCCCFF"/>
      <color rgb="FFCCFFCC"/>
      <color rgb="FFFFCCCC"/>
      <color rgb="FFCCFFFF"/>
      <color rgb="FFFFFF99"/>
      <color rgb="FFCCE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C618A-F1C6-4E58-A751-920051970A52}">
  <sheetPr>
    <tabColor rgb="FF00B0F0"/>
    <pageSetUpPr fitToPage="1"/>
  </sheetPr>
  <dimension ref="A1:AL34"/>
  <sheetViews>
    <sheetView tabSelected="1" view="pageBreakPreview" zoomScale="80" zoomScaleNormal="100" zoomScaleSheetLayoutView="80" workbookViewId="0">
      <selection activeCell="F22" sqref="F22:G22"/>
    </sheetView>
  </sheetViews>
  <sheetFormatPr defaultRowHeight="25.5" customHeight="1" outlineLevelCol="1" x14ac:dyDescent="0.4"/>
  <cols>
    <col min="1" max="2" width="3" style="67" customWidth="1"/>
    <col min="3" max="7" width="9.125" style="67" customWidth="1"/>
    <col min="8" max="9" width="10.25" style="67" customWidth="1"/>
    <col min="10" max="10" width="6.125" style="67" bestFit="1" customWidth="1"/>
    <col min="11" max="11" width="8.125" style="67" customWidth="1"/>
    <col min="12" max="12" width="5.25" style="67" customWidth="1"/>
    <col min="13" max="14" width="7.5" style="68" hidden="1" customWidth="1" outlineLevel="1"/>
    <col min="15" max="15" width="12.375" style="68" hidden="1" customWidth="1" outlineLevel="1"/>
    <col min="16" max="16" width="2.75" style="68" hidden="1" customWidth="1" outlineLevel="1"/>
    <col min="17" max="21" width="7.375" style="68" hidden="1" customWidth="1" outlineLevel="1"/>
    <col min="22" max="22" width="1.875" style="68" hidden="1" customWidth="1" outlineLevel="1"/>
    <col min="23" max="25" width="8" style="68" hidden="1" customWidth="1" outlineLevel="1"/>
    <col min="26" max="26" width="2.375" style="68" hidden="1" customWidth="1" outlineLevel="1"/>
    <col min="27" max="29" width="7.625" style="68" hidden="1" customWidth="1" outlineLevel="1"/>
    <col min="30" max="32" width="3.25" style="68" hidden="1" customWidth="1" outlineLevel="1"/>
    <col min="33" max="33" width="11.625" style="68" hidden="1" customWidth="1" outlineLevel="1"/>
    <col min="34" max="34" width="7.625" style="68" hidden="1" customWidth="1" outlineLevel="1"/>
    <col min="35" max="35" width="3.125" style="68" hidden="1" customWidth="1" outlineLevel="1"/>
    <col min="36" max="37" width="7.625" style="68" hidden="1" customWidth="1" outlineLevel="1"/>
    <col min="38" max="38" width="9" style="68" collapsed="1"/>
    <col min="39" max="16384" width="9" style="67"/>
  </cols>
  <sheetData>
    <row r="1" spans="1:38" ht="14.25" customHeight="1" x14ac:dyDescent="0.4">
      <c r="A1" s="89"/>
      <c r="B1" s="89"/>
      <c r="C1" s="90"/>
      <c r="D1" s="90"/>
      <c r="E1" s="90"/>
      <c r="F1" s="90"/>
      <c r="G1" s="90"/>
      <c r="H1" s="90"/>
      <c r="I1" s="90"/>
      <c r="J1" s="90"/>
      <c r="K1" s="90"/>
    </row>
    <row r="2" spans="1:38" ht="13.5" x14ac:dyDescent="0.4">
      <c r="A2" s="99" t="s">
        <v>60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38" ht="46.5" customHeight="1" x14ac:dyDescent="0.4">
      <c r="A3" s="100" t="s">
        <v>40</v>
      </c>
      <c r="B3" s="101"/>
      <c r="C3" s="101"/>
      <c r="D3" s="101"/>
      <c r="E3" s="101"/>
      <c r="F3" s="101"/>
      <c r="G3" s="101"/>
      <c r="H3" s="101"/>
      <c r="I3" s="101"/>
      <c r="J3" s="101"/>
      <c r="K3" s="102"/>
    </row>
    <row r="4" spans="1:38" ht="13.5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8"/>
    </row>
    <row r="5" spans="1:38" s="69" customFormat="1" ht="25.5" customHeight="1" thickBot="1" x14ac:dyDescent="0.45">
      <c r="A5" s="39"/>
      <c r="B5" s="103" t="s">
        <v>34</v>
      </c>
      <c r="C5" s="103"/>
      <c r="D5" s="103"/>
      <c r="E5" s="103"/>
      <c r="F5" s="103"/>
      <c r="G5" s="103"/>
      <c r="H5" s="103"/>
      <c r="I5" s="103"/>
      <c r="J5" s="40"/>
      <c r="K5" s="41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</row>
    <row r="6" spans="1:38" ht="25.5" customHeight="1" thickTop="1" thickBot="1" x14ac:dyDescent="0.45">
      <c r="A6" s="36"/>
      <c r="B6" s="37"/>
      <c r="C6" s="52" t="s">
        <v>17</v>
      </c>
      <c r="D6" s="2">
        <v>35</v>
      </c>
      <c r="E6" s="37" t="s">
        <v>20</v>
      </c>
      <c r="F6" s="43"/>
      <c r="G6" s="43"/>
      <c r="H6" s="37"/>
      <c r="I6" s="37"/>
      <c r="J6" s="37"/>
      <c r="K6" s="38"/>
    </row>
    <row r="7" spans="1:38" ht="25.5" customHeight="1" thickTop="1" x14ac:dyDescent="0.4">
      <c r="A7" s="36"/>
      <c r="B7" s="37"/>
      <c r="C7" s="42"/>
      <c r="D7" s="45"/>
      <c r="E7" s="37"/>
      <c r="F7" s="44"/>
      <c r="G7" s="44"/>
      <c r="H7" s="37"/>
      <c r="I7" s="37"/>
      <c r="J7" s="37"/>
      <c r="K7" s="38"/>
    </row>
    <row r="8" spans="1:38" ht="25.5" customHeight="1" x14ac:dyDescent="0.4">
      <c r="A8" s="36"/>
      <c r="B8" s="103" t="s">
        <v>35</v>
      </c>
      <c r="C8" s="103"/>
      <c r="D8" s="103"/>
      <c r="E8" s="103"/>
      <c r="F8" s="103"/>
      <c r="G8" s="103"/>
      <c r="H8" s="103"/>
      <c r="I8" s="103"/>
      <c r="J8" s="37"/>
      <c r="K8" s="38"/>
    </row>
    <row r="9" spans="1:38" ht="25.5" customHeight="1" thickBot="1" x14ac:dyDescent="0.45">
      <c r="A9" s="36"/>
      <c r="B9" s="37"/>
      <c r="C9" s="95" t="s">
        <v>21</v>
      </c>
      <c r="D9" s="96"/>
      <c r="E9" s="97"/>
      <c r="F9" s="98" t="s">
        <v>22</v>
      </c>
      <c r="G9" s="98"/>
      <c r="H9" s="37"/>
      <c r="I9" s="37"/>
      <c r="J9" s="37"/>
      <c r="K9" s="38"/>
    </row>
    <row r="10" spans="1:38" ht="25.5" customHeight="1" thickTop="1" x14ac:dyDescent="0.4">
      <c r="A10" s="36"/>
      <c r="B10" s="37"/>
      <c r="C10" s="52" t="s">
        <v>23</v>
      </c>
      <c r="D10" s="104">
        <v>3000000</v>
      </c>
      <c r="E10" s="105"/>
      <c r="F10" s="106">
        <f>'所得計算（R6年分）'!B2</f>
        <v>2020000</v>
      </c>
      <c r="G10" s="107"/>
      <c r="H10" s="37"/>
      <c r="I10" s="37"/>
      <c r="J10" s="37"/>
      <c r="K10" s="38"/>
    </row>
    <row r="11" spans="1:38" ht="25.5" customHeight="1" thickBot="1" x14ac:dyDescent="0.45">
      <c r="A11" s="36"/>
      <c r="B11" s="37"/>
      <c r="C11" s="52" t="s">
        <v>19</v>
      </c>
      <c r="D11" s="108"/>
      <c r="E11" s="109"/>
      <c r="F11" s="110">
        <f>'年金（R2年分以降）'!C2</f>
        <v>0</v>
      </c>
      <c r="G11" s="111"/>
      <c r="H11" s="37"/>
      <c r="I11" s="37"/>
      <c r="J11" s="37"/>
      <c r="K11" s="38"/>
    </row>
    <row r="12" spans="1:38" ht="25.5" customHeight="1" thickTop="1" thickBot="1" x14ac:dyDescent="0.45">
      <c r="A12" s="36"/>
      <c r="B12" s="37"/>
      <c r="C12" s="98" t="s">
        <v>24</v>
      </c>
      <c r="D12" s="112"/>
      <c r="E12" s="113"/>
      <c r="F12" s="114">
        <v>480000</v>
      </c>
      <c r="G12" s="115"/>
      <c r="H12" s="37"/>
      <c r="I12" s="37"/>
      <c r="J12" s="37"/>
      <c r="K12" s="38"/>
    </row>
    <row r="13" spans="1:38" ht="25.5" customHeight="1" thickTop="1" x14ac:dyDescent="0.4">
      <c r="A13" s="36"/>
      <c r="B13" s="37"/>
      <c r="C13" s="98" t="s">
        <v>25</v>
      </c>
      <c r="D13" s="98"/>
      <c r="E13" s="98"/>
      <c r="F13" s="116">
        <f>SUM(F10:G12)</f>
        <v>2500000</v>
      </c>
      <c r="G13" s="117"/>
      <c r="H13" s="37"/>
      <c r="I13" s="37"/>
      <c r="J13" s="37"/>
      <c r="K13" s="38"/>
    </row>
    <row r="14" spans="1:38" ht="13.5" x14ac:dyDescent="0.4">
      <c r="A14" s="36"/>
      <c r="B14" s="37"/>
      <c r="C14" s="53" t="s">
        <v>26</v>
      </c>
      <c r="D14" s="53"/>
      <c r="E14" s="53"/>
      <c r="F14" s="53"/>
      <c r="G14" s="53"/>
      <c r="H14" s="37"/>
      <c r="I14" s="37"/>
      <c r="J14" s="37"/>
      <c r="K14" s="38"/>
    </row>
    <row r="15" spans="1:38" ht="13.5" x14ac:dyDescent="0.4">
      <c r="A15" s="36"/>
      <c r="B15" s="37"/>
      <c r="C15" s="118" t="s">
        <v>27</v>
      </c>
      <c r="D15" s="118"/>
      <c r="E15" s="118"/>
      <c r="F15" s="118"/>
      <c r="G15" s="118"/>
      <c r="H15" s="37"/>
      <c r="I15" s="37"/>
      <c r="J15" s="37"/>
      <c r="K15" s="38"/>
    </row>
    <row r="16" spans="1:38" ht="13.5" x14ac:dyDescent="0.4">
      <c r="A16" s="36"/>
      <c r="B16" s="37"/>
      <c r="C16" s="46"/>
      <c r="D16" s="46"/>
      <c r="E16" s="46"/>
      <c r="F16" s="46"/>
      <c r="G16" s="46"/>
      <c r="H16" s="37"/>
      <c r="I16" s="37"/>
      <c r="J16" s="37"/>
      <c r="K16" s="38"/>
    </row>
    <row r="17" spans="1:38" ht="46.5" customHeight="1" x14ac:dyDescent="0.4">
      <c r="A17" s="119" t="s">
        <v>41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1"/>
      <c r="Q17" s="71"/>
      <c r="R17" s="71"/>
    </row>
    <row r="18" spans="1:38" ht="13.5" customHeight="1" x14ac:dyDescent="0.4">
      <c r="A18" s="47"/>
      <c r="B18" s="48"/>
      <c r="C18" s="48"/>
      <c r="D18" s="48"/>
      <c r="E18" s="48"/>
      <c r="F18" s="48"/>
      <c r="G18" s="48"/>
      <c r="H18" s="48"/>
      <c r="I18" s="48"/>
      <c r="J18" s="48"/>
      <c r="K18" s="49"/>
      <c r="M18" s="72"/>
    </row>
    <row r="19" spans="1:38" ht="25.5" customHeight="1" x14ac:dyDescent="0.4">
      <c r="A19" s="36"/>
      <c r="B19" s="103" t="s">
        <v>61</v>
      </c>
      <c r="C19" s="103"/>
      <c r="D19" s="103"/>
      <c r="E19" s="103"/>
      <c r="F19" s="103"/>
      <c r="G19" s="103"/>
      <c r="H19" s="103"/>
      <c r="I19" s="103"/>
      <c r="J19" s="103"/>
      <c r="K19" s="126"/>
      <c r="M19" s="68" t="s">
        <v>48</v>
      </c>
      <c r="Q19" s="68" t="s">
        <v>47</v>
      </c>
      <c r="U19" s="73"/>
      <c r="V19" s="73"/>
      <c r="W19" s="73" t="s">
        <v>55</v>
      </c>
      <c r="Z19" s="73"/>
      <c r="AA19" s="73" t="s">
        <v>57</v>
      </c>
      <c r="AB19" s="73"/>
      <c r="AC19" s="73"/>
      <c r="AD19" s="73"/>
      <c r="AE19" s="73"/>
      <c r="AF19" s="73"/>
      <c r="AG19" s="73"/>
      <c r="AH19" s="73"/>
      <c r="AI19" s="73"/>
    </row>
    <row r="20" spans="1:38" ht="25.5" customHeight="1" thickBot="1" x14ac:dyDescent="0.45">
      <c r="A20" s="50"/>
      <c r="B20" s="46"/>
      <c r="C20" s="122" t="s">
        <v>28</v>
      </c>
      <c r="D20" s="132"/>
      <c r="E20" s="54" t="s">
        <v>0</v>
      </c>
      <c r="F20" s="133" t="s">
        <v>13</v>
      </c>
      <c r="G20" s="133"/>
      <c r="H20" s="46"/>
      <c r="I20" s="46"/>
      <c r="J20" s="46"/>
      <c r="K20" s="51"/>
      <c r="M20" s="74" t="s">
        <v>28</v>
      </c>
      <c r="N20" s="75" t="s">
        <v>0</v>
      </c>
      <c r="O20" s="75" t="s">
        <v>53</v>
      </c>
      <c r="Q20" s="76" t="s">
        <v>4</v>
      </c>
      <c r="R20" s="77" t="s">
        <v>5</v>
      </c>
      <c r="S20" s="77" t="s">
        <v>46</v>
      </c>
      <c r="T20" s="77" t="s">
        <v>6</v>
      </c>
      <c r="U20" s="78"/>
      <c r="V20" s="78"/>
      <c r="W20" s="79" t="s">
        <v>5</v>
      </c>
      <c r="X20" s="76" t="s">
        <v>46</v>
      </c>
      <c r="Y20" s="76" t="s">
        <v>6</v>
      </c>
      <c r="Z20" s="78"/>
      <c r="AA20" s="75" t="s">
        <v>28</v>
      </c>
      <c r="AB20" s="77" t="s">
        <v>5</v>
      </c>
      <c r="AC20" s="80" t="s">
        <v>46</v>
      </c>
      <c r="AD20" s="127" t="s">
        <v>45</v>
      </c>
      <c r="AE20" s="128"/>
      <c r="AF20" s="128"/>
      <c r="AG20" s="128"/>
      <c r="AH20" s="129"/>
      <c r="AI20" s="78"/>
    </row>
    <row r="21" spans="1:38" ht="25.5" customHeight="1" thickTop="1" thickBot="1" x14ac:dyDescent="0.45">
      <c r="A21" s="50"/>
      <c r="B21" s="46"/>
      <c r="C21" s="122" t="s">
        <v>29</v>
      </c>
      <c r="D21" s="123"/>
      <c r="E21" s="33">
        <v>35</v>
      </c>
      <c r="F21" s="130">
        <v>2500000</v>
      </c>
      <c r="G21" s="131"/>
      <c r="H21" s="46"/>
      <c r="I21" s="46"/>
      <c r="J21" s="46"/>
      <c r="K21" s="51"/>
      <c r="M21" s="74" t="s">
        <v>29</v>
      </c>
      <c r="N21" s="55">
        <f>E21</f>
        <v>35</v>
      </c>
      <c r="O21" s="56">
        <f>F21-430000</f>
        <v>2070000</v>
      </c>
      <c r="Q21" s="75" t="s">
        <v>2</v>
      </c>
      <c r="R21" s="58">
        <v>17700</v>
      </c>
      <c r="S21" s="58">
        <v>9400</v>
      </c>
      <c r="T21" s="58">
        <v>9500</v>
      </c>
      <c r="U21" s="71"/>
      <c r="V21" s="71"/>
      <c r="W21" s="57">
        <f>R21*Q26</f>
        <v>17700</v>
      </c>
      <c r="X21" s="57">
        <f>S21*R26</f>
        <v>9400</v>
      </c>
      <c r="Y21" s="57">
        <f>T21*U26</f>
        <v>0</v>
      </c>
      <c r="Z21" s="71"/>
      <c r="AA21" s="75" t="s">
        <v>29</v>
      </c>
      <c r="AB21" s="58">
        <f>IF(O21&gt;=1,O21*R23)</f>
        <v>151110</v>
      </c>
      <c r="AC21" s="58">
        <f>IF(O21&gt;=1,O21*S23)</f>
        <v>74520</v>
      </c>
      <c r="AD21" s="59">
        <f>COUNTIF(N21,"&gt;=40")</f>
        <v>0</v>
      </c>
      <c r="AE21" s="59">
        <f>COUNTIF(N21,"&gt;=65")</f>
        <v>0</v>
      </c>
      <c r="AF21" s="59">
        <f>AD21-AE21</f>
        <v>0</v>
      </c>
      <c r="AG21" s="60">
        <f>IF(O21&gt;=1,O21)</f>
        <v>2070000</v>
      </c>
      <c r="AH21" s="58" t="b">
        <f>IF(AF21&gt;=1,AG21*T23)</f>
        <v>0</v>
      </c>
      <c r="AI21" s="71"/>
    </row>
    <row r="22" spans="1:38" ht="25.5" customHeight="1" thickTop="1" x14ac:dyDescent="0.4">
      <c r="A22" s="50"/>
      <c r="B22" s="46"/>
      <c r="C22" s="122" t="s">
        <v>30</v>
      </c>
      <c r="D22" s="123"/>
      <c r="E22" s="34"/>
      <c r="F22" s="124"/>
      <c r="G22" s="125"/>
      <c r="H22" s="46"/>
      <c r="I22" s="46"/>
      <c r="J22" s="46"/>
      <c r="K22" s="51"/>
      <c r="M22" s="74" t="s">
        <v>30</v>
      </c>
      <c r="N22" s="55">
        <f t="shared" ref="N22:N24" si="0">E22</f>
        <v>0</v>
      </c>
      <c r="O22" s="56">
        <f>F22-430000</f>
        <v>-430000</v>
      </c>
      <c r="Q22" s="75" t="s">
        <v>3</v>
      </c>
      <c r="R22" s="58">
        <v>13800</v>
      </c>
      <c r="S22" s="58">
        <v>6100</v>
      </c>
      <c r="T22" s="58">
        <v>4800</v>
      </c>
      <c r="U22" s="71"/>
      <c r="V22" s="71"/>
      <c r="W22" s="68" t="s">
        <v>56</v>
      </c>
      <c r="Z22" s="71"/>
      <c r="AA22" s="75" t="s">
        <v>30</v>
      </c>
      <c r="AB22" s="58" t="b">
        <f>IF(O22&gt;=1,O22*R23)</f>
        <v>0</v>
      </c>
      <c r="AC22" s="58" t="b">
        <f>IF(O22&gt;=1,O22*S23)</f>
        <v>0</v>
      </c>
      <c r="AD22" s="59">
        <f>COUNTIF(N22,"&gt;=40")</f>
        <v>0</v>
      </c>
      <c r="AE22" s="59">
        <f>COUNTIF(N22,"&gt;=65")</f>
        <v>0</v>
      </c>
      <c r="AF22" s="59">
        <f t="shared" ref="AF22:AF25" si="1">AD22-AE22</f>
        <v>0</v>
      </c>
      <c r="AG22" s="60" t="b">
        <f>IF(O22&gt;=1,O22)</f>
        <v>0</v>
      </c>
      <c r="AH22" s="58" t="b">
        <f>IF(AF22&gt;=1,AG22*T23)</f>
        <v>0</v>
      </c>
      <c r="AI22" s="71"/>
      <c r="AJ22" s="71"/>
    </row>
    <row r="23" spans="1:38" ht="25.5" customHeight="1" thickBot="1" x14ac:dyDescent="0.45">
      <c r="A23" s="50"/>
      <c r="B23" s="46"/>
      <c r="C23" s="122" t="s">
        <v>31</v>
      </c>
      <c r="D23" s="123"/>
      <c r="E23" s="34"/>
      <c r="F23" s="124"/>
      <c r="G23" s="125"/>
      <c r="H23" s="46"/>
      <c r="I23" s="46"/>
      <c r="J23" s="46"/>
      <c r="K23" s="51"/>
      <c r="M23" s="74" t="s">
        <v>31</v>
      </c>
      <c r="N23" s="55">
        <f t="shared" si="0"/>
        <v>0</v>
      </c>
      <c r="O23" s="56">
        <f>F23-430000</f>
        <v>-430000</v>
      </c>
      <c r="Q23" s="75" t="s">
        <v>1</v>
      </c>
      <c r="R23" s="81">
        <v>7.2999999999999995E-2</v>
      </c>
      <c r="S23" s="81">
        <v>3.5999999999999997E-2</v>
      </c>
      <c r="T23" s="81">
        <v>2.7E-2</v>
      </c>
      <c r="U23" s="71"/>
      <c r="V23" s="71"/>
      <c r="W23" s="79" t="s">
        <v>5</v>
      </c>
      <c r="X23" s="76" t="s">
        <v>46</v>
      </c>
      <c r="Y23" s="76" t="s">
        <v>6</v>
      </c>
      <c r="Z23" s="71"/>
      <c r="AA23" s="75" t="s">
        <v>31</v>
      </c>
      <c r="AB23" s="58" t="b">
        <f>IF(O23&gt;=1,O23*R23)</f>
        <v>0</v>
      </c>
      <c r="AC23" s="58" t="b">
        <f>IF(O23&gt;=1,O23*S23)</f>
        <v>0</v>
      </c>
      <c r="AD23" s="59">
        <f>COUNTIF(N23,"&gt;=40")</f>
        <v>0</v>
      </c>
      <c r="AE23" s="59">
        <f>COUNTIF(N23,"&gt;=65")</f>
        <v>0</v>
      </c>
      <c r="AF23" s="59">
        <f t="shared" si="1"/>
        <v>0</v>
      </c>
      <c r="AG23" s="60" t="b">
        <f>IF(O23&gt;=1,O23)</f>
        <v>0</v>
      </c>
      <c r="AH23" s="58" t="b">
        <f>IF(AF23&gt;=1,AG23*T23)</f>
        <v>0</v>
      </c>
      <c r="AI23" s="71"/>
      <c r="AJ23" s="71"/>
    </row>
    <row r="24" spans="1:38" ht="25.5" customHeight="1" thickTop="1" thickBot="1" x14ac:dyDescent="0.45">
      <c r="A24" s="50"/>
      <c r="B24" s="46"/>
      <c r="C24" s="122" t="s">
        <v>32</v>
      </c>
      <c r="D24" s="123"/>
      <c r="E24" s="34"/>
      <c r="F24" s="124"/>
      <c r="G24" s="125"/>
      <c r="H24" s="46"/>
      <c r="I24" s="46"/>
      <c r="J24" s="46"/>
      <c r="K24" s="51"/>
      <c r="M24" s="74" t="s">
        <v>32</v>
      </c>
      <c r="N24" s="55">
        <f t="shared" si="0"/>
        <v>0</v>
      </c>
      <c r="O24" s="56">
        <f>F24-430000</f>
        <v>-430000</v>
      </c>
      <c r="W24" s="57">
        <f>R22</f>
        <v>13800</v>
      </c>
      <c r="X24" s="57">
        <f>S22</f>
        <v>6100</v>
      </c>
      <c r="Y24" s="57" t="b">
        <f>IF(U26&gt;=1,4800)</f>
        <v>0</v>
      </c>
      <c r="AA24" s="75" t="s">
        <v>32</v>
      </c>
      <c r="AB24" s="58" t="b">
        <f>IF(O24&gt;=1,O24*R23)</f>
        <v>0</v>
      </c>
      <c r="AC24" s="58" t="b">
        <f>IF(O24&gt;=1,O24*S23)</f>
        <v>0</v>
      </c>
      <c r="AD24" s="59">
        <f>COUNTIF(N24,"&gt;=40")</f>
        <v>0</v>
      </c>
      <c r="AE24" s="59">
        <f>COUNTIF(N24,"&gt;=65")</f>
        <v>0</v>
      </c>
      <c r="AF24" s="59">
        <f>AD24-AE24</f>
        <v>0</v>
      </c>
      <c r="AG24" s="60" t="b">
        <f>IF(O24&gt;=1,O24)</f>
        <v>0</v>
      </c>
      <c r="AH24" s="58" t="b">
        <f>IF(AF24&gt;=1,AG24*T23)</f>
        <v>0</v>
      </c>
    </row>
    <row r="25" spans="1:38" ht="25.5" customHeight="1" thickTop="1" thickBot="1" x14ac:dyDescent="0.45">
      <c r="A25" s="50"/>
      <c r="B25" s="46"/>
      <c r="C25" s="122" t="s">
        <v>33</v>
      </c>
      <c r="D25" s="123"/>
      <c r="E25" s="35"/>
      <c r="F25" s="145"/>
      <c r="G25" s="146"/>
      <c r="H25" s="46"/>
      <c r="I25" s="46"/>
      <c r="J25" s="46"/>
      <c r="K25" s="51"/>
      <c r="M25" s="74" t="s">
        <v>33</v>
      </c>
      <c r="N25" s="55">
        <f>E25</f>
        <v>0</v>
      </c>
      <c r="O25" s="56">
        <f>F25-430000</f>
        <v>-430000</v>
      </c>
      <c r="Q25" s="64" t="s">
        <v>52</v>
      </c>
      <c r="R25" s="64" t="s">
        <v>51</v>
      </c>
      <c r="S25" s="127" t="s">
        <v>50</v>
      </c>
      <c r="T25" s="128"/>
      <c r="U25" s="129"/>
      <c r="AA25" s="75" t="s">
        <v>33</v>
      </c>
      <c r="AB25" s="58" t="b">
        <f>IF(O25&gt;=1,O25*R23)</f>
        <v>0</v>
      </c>
      <c r="AC25" s="58" t="b">
        <f>IF(O25&gt;=1,O25*S23)</f>
        <v>0</v>
      </c>
      <c r="AD25" s="61">
        <f>COUNTIF(N25,"&gt;=40")</f>
        <v>0</v>
      </c>
      <c r="AE25" s="61">
        <f>COUNTIF(N25,"&gt;=65")</f>
        <v>0</v>
      </c>
      <c r="AF25" s="61">
        <f t="shared" si="1"/>
        <v>0</v>
      </c>
      <c r="AG25" s="62" t="b">
        <f>IF(O25&gt;=1,O25)</f>
        <v>0</v>
      </c>
      <c r="AH25" s="63" t="b">
        <f>IF(AF25&gt;=1,AG25*T23)</f>
        <v>0</v>
      </c>
    </row>
    <row r="26" spans="1:38" ht="15.75" customHeight="1" thickTop="1" thickBot="1" x14ac:dyDescent="0.45">
      <c r="A26" s="50"/>
      <c r="B26" s="46"/>
      <c r="C26" s="147"/>
      <c r="D26" s="147"/>
      <c r="E26" s="147"/>
      <c r="F26" s="148"/>
      <c r="G26" s="148"/>
      <c r="H26" s="46"/>
      <c r="I26" s="46"/>
      <c r="J26" s="46"/>
      <c r="K26" s="51"/>
      <c r="M26" s="149"/>
      <c r="N26" s="149"/>
      <c r="O26" s="82"/>
      <c r="Q26" s="64">
        <f>COUNT(E21:E25)</f>
        <v>1</v>
      </c>
      <c r="R26" s="64">
        <f>COUNT(E21:E25)</f>
        <v>1</v>
      </c>
      <c r="S26" s="59">
        <f>COUNTIF(N21:N25,"&gt;=40")</f>
        <v>0</v>
      </c>
      <c r="T26" s="59">
        <f>COUNTIF(N21:N25,"&gt;=65")</f>
        <v>0</v>
      </c>
      <c r="U26" s="59">
        <f>S26-T26</f>
        <v>0</v>
      </c>
      <c r="AA26" s="83" t="s">
        <v>7</v>
      </c>
      <c r="AB26" s="65">
        <f>SUM(AB21:AB25,)</f>
        <v>151110</v>
      </c>
      <c r="AC26" s="65">
        <f>SUM(AC21:AC25,)</f>
        <v>74520</v>
      </c>
      <c r="AD26" s="92">
        <f>SUM(AH21:AH25,)</f>
        <v>0</v>
      </c>
      <c r="AE26" s="93"/>
      <c r="AF26" s="93"/>
      <c r="AG26" s="93"/>
      <c r="AH26" s="94"/>
    </row>
    <row r="27" spans="1:38" ht="22.5" customHeight="1" thickTop="1" thickBot="1" x14ac:dyDescent="0.45">
      <c r="A27" s="119" t="s">
        <v>39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1"/>
      <c r="S27" s="84" t="s">
        <v>43</v>
      </c>
      <c r="T27" s="84" t="s">
        <v>44</v>
      </c>
      <c r="U27" s="84" t="s">
        <v>42</v>
      </c>
      <c r="AJ27" s="150" t="s">
        <v>8</v>
      </c>
      <c r="AK27" s="150"/>
    </row>
    <row r="28" spans="1:38" ht="22.5" customHeight="1" thickTop="1" thickBot="1" x14ac:dyDescent="0.45">
      <c r="A28" s="119"/>
      <c r="B28" s="120"/>
      <c r="C28" s="120"/>
      <c r="D28" s="120"/>
      <c r="E28" s="120"/>
      <c r="F28" s="120"/>
      <c r="G28" s="120"/>
      <c r="H28" s="120"/>
      <c r="I28" s="120"/>
      <c r="J28" s="120"/>
      <c r="K28" s="121"/>
      <c r="O28" s="85"/>
      <c r="P28" s="86"/>
      <c r="AA28" s="68" t="s">
        <v>58</v>
      </c>
      <c r="AB28" s="66">
        <f>ROUNDDOWN(W21+W24+AB26,-2)</f>
        <v>182600</v>
      </c>
      <c r="AC28" s="66">
        <f>ROUNDDOWN(X21+X24+AC26,-2)</f>
        <v>90000</v>
      </c>
      <c r="AD28" s="92">
        <f>ROUNDDOWN(Y21+Y24+AD26,-2)</f>
        <v>0</v>
      </c>
      <c r="AE28" s="93"/>
      <c r="AF28" s="93"/>
      <c r="AG28" s="93"/>
      <c r="AH28" s="94"/>
      <c r="AI28" s="68" t="s">
        <v>59</v>
      </c>
      <c r="AJ28" s="92">
        <f>AB28+AC28+AD28</f>
        <v>272600</v>
      </c>
      <c r="AK28" s="94"/>
      <c r="AL28" s="67"/>
    </row>
    <row r="29" spans="1:38" ht="20.25" customHeight="1" thickTop="1" thickBot="1" x14ac:dyDescent="0.45">
      <c r="A29" s="50"/>
      <c r="B29" s="46"/>
      <c r="C29" s="46"/>
      <c r="D29" s="46"/>
      <c r="E29" s="46"/>
      <c r="F29" s="46"/>
      <c r="G29" s="46"/>
      <c r="H29" s="46"/>
      <c r="I29" s="46"/>
      <c r="J29" s="46"/>
      <c r="K29" s="51"/>
      <c r="AA29" s="68" t="s">
        <v>54</v>
      </c>
      <c r="AB29" s="66">
        <f>IF(AB28&lt;=660000,AB28,"660,000")</f>
        <v>182600</v>
      </c>
      <c r="AC29" s="66">
        <f>IF(AC28&lt;=260000,AC28,"260,000")</f>
        <v>90000</v>
      </c>
      <c r="AD29" s="92">
        <f>IF(AD28&lt;=170000,AD28,"170,000")</f>
        <v>0</v>
      </c>
      <c r="AE29" s="93"/>
      <c r="AF29" s="93"/>
      <c r="AG29" s="93"/>
      <c r="AH29" s="94"/>
      <c r="AI29" s="68" t="s">
        <v>59</v>
      </c>
      <c r="AJ29" s="92">
        <f>AB29+AC29+AD29</f>
        <v>272600</v>
      </c>
      <c r="AK29" s="94"/>
    </row>
    <row r="30" spans="1:38" ht="34.5" customHeight="1" thickTop="1" thickBot="1" x14ac:dyDescent="0.45">
      <c r="A30" s="50"/>
      <c r="B30" s="46"/>
      <c r="C30" s="140" t="s">
        <v>36</v>
      </c>
      <c r="D30" s="141"/>
      <c r="E30" s="141"/>
      <c r="F30" s="141"/>
      <c r="G30" s="142"/>
      <c r="H30" s="143">
        <f>IF(AJ29&gt;=1090000,1090000,AJ29)</f>
        <v>272600</v>
      </c>
      <c r="I30" s="144"/>
      <c r="J30" s="91" t="s">
        <v>38</v>
      </c>
      <c r="K30" s="51"/>
      <c r="W30" s="87"/>
      <c r="X30" s="87"/>
      <c r="Y30" s="87"/>
      <c r="Z30" s="87"/>
      <c r="AJ30" s="88"/>
    </row>
    <row r="31" spans="1:38" ht="34.5" customHeight="1" thickTop="1" thickBot="1" x14ac:dyDescent="0.45">
      <c r="A31" s="50"/>
      <c r="B31" s="46"/>
      <c r="C31" s="140" t="s">
        <v>37</v>
      </c>
      <c r="D31" s="141"/>
      <c r="E31" s="141"/>
      <c r="F31" s="141"/>
      <c r="G31" s="142"/>
      <c r="H31" s="143">
        <f>H30/12</f>
        <v>22716.666666666668</v>
      </c>
      <c r="I31" s="144"/>
      <c r="J31" s="91" t="s">
        <v>38</v>
      </c>
      <c r="K31" s="51"/>
      <c r="W31" s="71"/>
      <c r="X31" s="71"/>
      <c r="Y31" s="71"/>
      <c r="Z31" s="71"/>
    </row>
    <row r="32" spans="1:38" ht="14.25" thickTop="1" x14ac:dyDescent="0.4">
      <c r="A32" s="50"/>
      <c r="B32" s="46"/>
      <c r="C32" s="46"/>
      <c r="D32" s="46"/>
      <c r="E32" s="46"/>
      <c r="F32" s="46"/>
      <c r="G32" s="46"/>
      <c r="H32" s="46"/>
      <c r="I32" s="46"/>
      <c r="J32" s="46"/>
      <c r="K32" s="51"/>
    </row>
    <row r="33" spans="1:11" ht="26.25" customHeight="1" x14ac:dyDescent="0.4">
      <c r="A33" s="134" t="s">
        <v>62</v>
      </c>
      <c r="B33" s="135"/>
      <c r="C33" s="135"/>
      <c r="D33" s="135"/>
      <c r="E33" s="135"/>
      <c r="F33" s="135"/>
      <c r="G33" s="135"/>
      <c r="H33" s="135"/>
      <c r="I33" s="135"/>
      <c r="J33" s="135"/>
      <c r="K33" s="136"/>
    </row>
    <row r="34" spans="1:11" ht="75" customHeight="1" x14ac:dyDescent="0.4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39"/>
    </row>
  </sheetData>
  <sheetProtection algorithmName="SHA-512" hashValue="ZNQyvca+VLk81rhsWAfuZevAt/HfhVDYKjXhuU/lVAK2gDXVjw/nXPlvdKFdTIGIxjgsOlQ2+H7w7OttwZYz4Q==" saltValue="DOQc0gF0ONUPn60D4uaiPw==" spinCount="100000" sheet="1" objects="1" scenarios="1" selectLockedCells="1"/>
  <mergeCells count="46">
    <mergeCell ref="AJ28:AK28"/>
    <mergeCell ref="A33:K34"/>
    <mergeCell ref="S25:U25"/>
    <mergeCell ref="C30:G30"/>
    <mergeCell ref="H30:I30"/>
    <mergeCell ref="C31:G31"/>
    <mergeCell ref="H31:I31"/>
    <mergeCell ref="C25:D25"/>
    <mergeCell ref="F25:G25"/>
    <mergeCell ref="C26:E26"/>
    <mergeCell ref="F26:G26"/>
    <mergeCell ref="M26:N26"/>
    <mergeCell ref="AJ27:AK27"/>
    <mergeCell ref="A27:K28"/>
    <mergeCell ref="AJ29:AK29"/>
    <mergeCell ref="AD28:AH28"/>
    <mergeCell ref="C24:D24"/>
    <mergeCell ref="F24:G24"/>
    <mergeCell ref="AD20:AH20"/>
    <mergeCell ref="C21:D21"/>
    <mergeCell ref="F21:G21"/>
    <mergeCell ref="C22:D22"/>
    <mergeCell ref="F22:G22"/>
    <mergeCell ref="C20:D20"/>
    <mergeCell ref="F20:G20"/>
    <mergeCell ref="C15:G15"/>
    <mergeCell ref="A17:K17"/>
    <mergeCell ref="C23:D23"/>
    <mergeCell ref="F23:G23"/>
    <mergeCell ref="B19:K19"/>
    <mergeCell ref="AD29:AH29"/>
    <mergeCell ref="AD26:AH26"/>
    <mergeCell ref="C9:E9"/>
    <mergeCell ref="F9:G9"/>
    <mergeCell ref="A2:K2"/>
    <mergeCell ref="A3:K3"/>
    <mergeCell ref="B5:I5"/>
    <mergeCell ref="B8:I8"/>
    <mergeCell ref="D10:E10"/>
    <mergeCell ref="F10:G10"/>
    <mergeCell ref="D11:E11"/>
    <mergeCell ref="F11:G11"/>
    <mergeCell ref="C12:E12"/>
    <mergeCell ref="F12:G12"/>
    <mergeCell ref="C13:E13"/>
    <mergeCell ref="F13:G13"/>
  </mergeCells>
  <phoneticPr fontId="2"/>
  <dataValidations count="1">
    <dataValidation type="whole" operator="lessThanOrEqual" allowBlank="1" showInputMessage="1" showErrorMessage="1" sqref="E21:E25" xr:uid="{E8D45970-EA47-4A47-A64A-CC692A9EAA76}">
      <formula1>74</formula1>
    </dataValidation>
  </dataValidations>
  <pageMargins left="0.56000000000000005" right="0.33" top="0.41" bottom="0.23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3"/>
  <sheetViews>
    <sheetView view="pageBreakPreview" topLeftCell="Q1" zoomScale="90" zoomScaleNormal="100" zoomScaleSheetLayoutView="90" workbookViewId="0">
      <selection activeCell="S14" sqref="S14"/>
    </sheetView>
  </sheetViews>
  <sheetFormatPr defaultRowHeight="18" customHeight="1" outlineLevelCol="1" x14ac:dyDescent="0.4"/>
  <cols>
    <col min="1" max="2" width="15" style="5" hidden="1" customWidth="1" outlineLevel="1"/>
    <col min="3" max="4" width="2.625" style="5" hidden="1" customWidth="1" outlineLevel="1"/>
    <col min="5" max="5" width="13.875" style="13" hidden="1" customWidth="1" outlineLevel="1"/>
    <col min="6" max="6" width="5.125" style="5" hidden="1" customWidth="1" outlineLevel="1"/>
    <col min="7" max="7" width="13.875" style="13" hidden="1" customWidth="1" outlineLevel="1"/>
    <col min="8" max="15" width="5.125" style="5" hidden="1" customWidth="1" outlineLevel="1"/>
    <col min="16" max="16" width="5.125" style="1" hidden="1" customWidth="1" outlineLevel="1"/>
    <col min="17" max="17" width="9" style="5" collapsed="1"/>
    <col min="18" max="16384" width="9" style="5"/>
  </cols>
  <sheetData>
    <row r="1" spans="1:15" s="5" customFormat="1" ht="18" customHeight="1" x14ac:dyDescent="0.4">
      <c r="A1" s="3" t="s">
        <v>9</v>
      </c>
      <c r="B1" s="4" t="s">
        <v>13</v>
      </c>
      <c r="E1" s="155" t="s">
        <v>11</v>
      </c>
      <c r="F1" s="155"/>
      <c r="G1" s="155"/>
      <c r="H1" s="155" t="s">
        <v>12</v>
      </c>
      <c r="I1" s="155"/>
      <c r="J1" s="155"/>
      <c r="K1" s="155"/>
      <c r="L1" s="155"/>
    </row>
    <row r="2" spans="1:15" s="5" customFormat="1" ht="18" customHeight="1" x14ac:dyDescent="0.4">
      <c r="A2" s="6">
        <f>'試算シート '!D10</f>
        <v>3000000</v>
      </c>
      <c r="B2" s="7">
        <f>I13</f>
        <v>2020000</v>
      </c>
      <c r="E2" s="8">
        <v>1</v>
      </c>
      <c r="F2" s="9" t="s">
        <v>10</v>
      </c>
      <c r="G2" s="10">
        <v>550999</v>
      </c>
      <c r="H2" s="11" t="str">
        <f>IF(O2=2,"●","")</f>
        <v/>
      </c>
      <c r="I2" s="153">
        <f>IF(O2=2,0,0)</f>
        <v>0</v>
      </c>
      <c r="J2" s="153"/>
      <c r="K2" s="153"/>
      <c r="L2" s="154"/>
      <c r="M2" s="5">
        <f>IF(A2&gt;=E2,1,0)</f>
        <v>1</v>
      </c>
      <c r="N2" s="5">
        <f>IF(A2&lt;=G2,1,0)</f>
        <v>0</v>
      </c>
      <c r="O2" s="5">
        <f>M2+N2</f>
        <v>1</v>
      </c>
    </row>
    <row r="3" spans="1:15" s="5" customFormat="1" ht="18" customHeight="1" x14ac:dyDescent="0.4">
      <c r="A3" s="5" t="s">
        <v>49</v>
      </c>
      <c r="E3" s="8">
        <v>551000</v>
      </c>
      <c r="F3" s="9" t="s">
        <v>10</v>
      </c>
      <c r="G3" s="10">
        <v>1618999</v>
      </c>
      <c r="H3" s="11" t="str">
        <f>IF(O3=2,"●","")</f>
        <v/>
      </c>
      <c r="I3" s="153">
        <f>IF(O3=2,A2-550000,0)</f>
        <v>0</v>
      </c>
      <c r="J3" s="153"/>
      <c r="K3" s="153"/>
      <c r="L3" s="154"/>
      <c r="M3" s="5">
        <f>IF(A2&gt;=E3,1,0)</f>
        <v>1</v>
      </c>
      <c r="N3" s="5">
        <f>IF(A2&lt;=G3,1,0)</f>
        <v>0</v>
      </c>
      <c r="O3" s="5">
        <f t="shared" ref="O3:O12" si="0">M3+N3</f>
        <v>1</v>
      </c>
    </row>
    <row r="4" spans="1:15" s="5" customFormat="1" ht="18" customHeight="1" x14ac:dyDescent="0.4">
      <c r="E4" s="8">
        <v>1619000</v>
      </c>
      <c r="F4" s="9" t="s">
        <v>10</v>
      </c>
      <c r="G4" s="10">
        <v>1619999</v>
      </c>
      <c r="H4" s="11" t="str">
        <f t="shared" ref="H4:H11" si="1">IF(O4=2,"●","")</f>
        <v/>
      </c>
      <c r="I4" s="153">
        <f>IF(O4=2,1069000,0)</f>
        <v>0</v>
      </c>
      <c r="J4" s="153"/>
      <c r="K4" s="153"/>
      <c r="L4" s="154"/>
      <c r="M4" s="5">
        <f>IF(A2&gt;=E4,1,0)</f>
        <v>1</v>
      </c>
      <c r="N4" s="5">
        <f>IF(A2&lt;=G4,1,0)</f>
        <v>0</v>
      </c>
      <c r="O4" s="5">
        <f>M4+N4</f>
        <v>1</v>
      </c>
    </row>
    <row r="5" spans="1:15" s="5" customFormat="1" ht="18" customHeight="1" x14ac:dyDescent="0.4">
      <c r="E5" s="8">
        <v>1620000</v>
      </c>
      <c r="F5" s="9" t="s">
        <v>10</v>
      </c>
      <c r="G5" s="10">
        <v>1621999</v>
      </c>
      <c r="H5" s="11" t="str">
        <f t="shared" si="1"/>
        <v/>
      </c>
      <c r="I5" s="153">
        <f>IF(O5=2,1070000,0)</f>
        <v>0</v>
      </c>
      <c r="J5" s="153"/>
      <c r="K5" s="153"/>
      <c r="L5" s="154"/>
      <c r="M5" s="5">
        <f>IF(A2&gt;=E5,1,0)</f>
        <v>1</v>
      </c>
      <c r="N5" s="5">
        <f>IF(A2&lt;=G5,1,0)</f>
        <v>0</v>
      </c>
      <c r="O5" s="5">
        <f t="shared" si="0"/>
        <v>1</v>
      </c>
    </row>
    <row r="6" spans="1:15" s="5" customFormat="1" ht="18" customHeight="1" x14ac:dyDescent="0.4">
      <c r="E6" s="8">
        <v>1622000</v>
      </c>
      <c r="F6" s="9" t="s">
        <v>10</v>
      </c>
      <c r="G6" s="10">
        <v>1623999</v>
      </c>
      <c r="H6" s="11" t="str">
        <f>IF(O6=2,"●","")</f>
        <v/>
      </c>
      <c r="I6" s="153">
        <f>IF(O6=2,1072000,0)</f>
        <v>0</v>
      </c>
      <c r="J6" s="153"/>
      <c r="K6" s="153"/>
      <c r="L6" s="154"/>
      <c r="M6" s="5">
        <f>IF(A2&gt;=E6,1,0)</f>
        <v>1</v>
      </c>
      <c r="N6" s="5">
        <f>IF(A2&lt;=G6,1,0)</f>
        <v>0</v>
      </c>
      <c r="O6" s="5">
        <f t="shared" si="0"/>
        <v>1</v>
      </c>
    </row>
    <row r="7" spans="1:15" s="5" customFormat="1" ht="18" customHeight="1" x14ac:dyDescent="0.4">
      <c r="E7" s="8">
        <v>1624000</v>
      </c>
      <c r="F7" s="9" t="s">
        <v>10</v>
      </c>
      <c r="G7" s="10">
        <v>1624999</v>
      </c>
      <c r="H7" s="11" t="str">
        <f t="shared" si="1"/>
        <v/>
      </c>
      <c r="I7" s="153">
        <f>IF(O7=2,1074000,0)</f>
        <v>0</v>
      </c>
      <c r="J7" s="153"/>
      <c r="K7" s="153"/>
      <c r="L7" s="154"/>
      <c r="M7" s="5">
        <f>IF(A2&gt;=E7,1,0)</f>
        <v>1</v>
      </c>
      <c r="N7" s="5">
        <f>IF(A2&lt;=G7,1,0)</f>
        <v>0</v>
      </c>
      <c r="O7" s="5">
        <f t="shared" si="0"/>
        <v>1</v>
      </c>
    </row>
    <row r="8" spans="1:15" s="5" customFormat="1" ht="18" customHeight="1" x14ac:dyDescent="0.4">
      <c r="E8" s="8">
        <v>1625000</v>
      </c>
      <c r="F8" s="9" t="s">
        <v>10</v>
      </c>
      <c r="G8" s="10">
        <v>1799999</v>
      </c>
      <c r="H8" s="11" t="str">
        <f t="shared" si="1"/>
        <v/>
      </c>
      <c r="I8" s="153">
        <f>IF(O8=2,ROUNDDOWN(A2/4,-3)*2.4+100000,0)</f>
        <v>0</v>
      </c>
      <c r="J8" s="153"/>
      <c r="K8" s="153"/>
      <c r="L8" s="154"/>
      <c r="M8" s="5">
        <f>IF(A2&gt;=E8,1,0)</f>
        <v>1</v>
      </c>
      <c r="N8" s="5">
        <f>IF(A2&lt;=G8,1,0)</f>
        <v>0</v>
      </c>
      <c r="O8" s="5">
        <f t="shared" si="0"/>
        <v>1</v>
      </c>
    </row>
    <row r="9" spans="1:15" s="5" customFormat="1" ht="18" customHeight="1" x14ac:dyDescent="0.4">
      <c r="E9" s="8">
        <v>1800000</v>
      </c>
      <c r="F9" s="9" t="s">
        <v>10</v>
      </c>
      <c r="G9" s="10">
        <v>3599999</v>
      </c>
      <c r="H9" s="11" t="str">
        <f t="shared" si="1"/>
        <v>●</v>
      </c>
      <c r="I9" s="153">
        <f>IF(O9=2,ROUNDDOWN(A2/4,-3)*2.8-80000,0)</f>
        <v>2020000</v>
      </c>
      <c r="J9" s="153"/>
      <c r="K9" s="153"/>
      <c r="L9" s="154"/>
      <c r="M9" s="5">
        <f>IF(A2&gt;=E9,1,0)</f>
        <v>1</v>
      </c>
      <c r="N9" s="5">
        <f>IF(A2&lt;=G9,1,0)</f>
        <v>1</v>
      </c>
      <c r="O9" s="5">
        <f>M9+N9</f>
        <v>2</v>
      </c>
    </row>
    <row r="10" spans="1:15" s="5" customFormat="1" ht="18" customHeight="1" x14ac:dyDescent="0.4">
      <c r="E10" s="8">
        <v>3600000</v>
      </c>
      <c r="F10" s="9" t="s">
        <v>10</v>
      </c>
      <c r="G10" s="10">
        <v>6599999</v>
      </c>
      <c r="H10" s="11" t="str">
        <f t="shared" si="1"/>
        <v/>
      </c>
      <c r="I10" s="153">
        <f>IF(O10=2,ROUNDDOWN(A2/4,-3)*3.2-440000,0)</f>
        <v>0</v>
      </c>
      <c r="J10" s="153"/>
      <c r="K10" s="153"/>
      <c r="L10" s="154"/>
      <c r="M10" s="5">
        <f>IF(A2&gt;=E10,1,0)</f>
        <v>0</v>
      </c>
      <c r="N10" s="5">
        <f>IF(A2&lt;=G10,1,0)</f>
        <v>1</v>
      </c>
      <c r="O10" s="5">
        <f t="shared" si="0"/>
        <v>1</v>
      </c>
    </row>
    <row r="11" spans="1:15" s="5" customFormat="1" ht="18" customHeight="1" x14ac:dyDescent="0.4">
      <c r="E11" s="8">
        <v>6600000</v>
      </c>
      <c r="F11" s="9" t="s">
        <v>10</v>
      </c>
      <c r="G11" s="10">
        <v>8499999</v>
      </c>
      <c r="H11" s="11" t="str">
        <f t="shared" si="1"/>
        <v/>
      </c>
      <c r="I11" s="153">
        <f>IF(O11=2,ROUNDDOWN(A2*0.9-1100000,0),0)</f>
        <v>0</v>
      </c>
      <c r="J11" s="153"/>
      <c r="K11" s="153"/>
      <c r="L11" s="154"/>
      <c r="M11" s="5">
        <f>IF(A2&gt;=E11,1,0)</f>
        <v>0</v>
      </c>
      <c r="N11" s="5">
        <f>IF(A2&lt;=G11,1,0)</f>
        <v>1</v>
      </c>
      <c r="O11" s="5">
        <f t="shared" si="0"/>
        <v>1</v>
      </c>
    </row>
    <row r="12" spans="1:15" s="5" customFormat="1" ht="18" customHeight="1" x14ac:dyDescent="0.4">
      <c r="E12" s="8">
        <v>8500000</v>
      </c>
      <c r="F12" s="9" t="s">
        <v>10</v>
      </c>
      <c r="G12" s="12"/>
      <c r="H12" s="11" t="str">
        <f>IF(O12=2,"●","")</f>
        <v/>
      </c>
      <c r="I12" s="153">
        <f>IF(O12=2,ROUNDDOWN(A2-1950000,0),0)</f>
        <v>0</v>
      </c>
      <c r="J12" s="153"/>
      <c r="K12" s="153"/>
      <c r="L12" s="154"/>
      <c r="M12" s="5">
        <f>IF(A2&gt;=E12,1,0)</f>
        <v>0</v>
      </c>
      <c r="N12" s="5">
        <v>1</v>
      </c>
      <c r="O12" s="5">
        <f t="shared" si="0"/>
        <v>1</v>
      </c>
    </row>
    <row r="13" spans="1:15" s="5" customFormat="1" ht="18" customHeight="1" x14ac:dyDescent="0.4">
      <c r="E13" s="13"/>
      <c r="G13" s="13"/>
      <c r="I13" s="151">
        <f>SUM(I2:L12)</f>
        <v>2020000</v>
      </c>
      <c r="J13" s="152"/>
      <c r="K13" s="152"/>
      <c r="L13" s="152"/>
    </row>
  </sheetData>
  <sheetProtection algorithmName="SHA-512" hashValue="5Tj4BlYPCEtI3uMQgBBFPu+VMDUCb189XleUW/N5S7PudjFsFuayrqrCGVLr9298Up5SuMEQEzixOqcIjqhbbA==" saltValue="+HKwpNh7rcCkfwIrILuLMw==" spinCount="100000" sheet="1" objects="1" scenarios="1"/>
  <mergeCells count="14">
    <mergeCell ref="I13:L13"/>
    <mergeCell ref="I12:L12"/>
    <mergeCell ref="E1:G1"/>
    <mergeCell ref="H1:L1"/>
    <mergeCell ref="I10:L10"/>
    <mergeCell ref="I11:L11"/>
    <mergeCell ref="I8:L8"/>
    <mergeCell ref="I9:L9"/>
    <mergeCell ref="I6:L6"/>
    <mergeCell ref="I7:L7"/>
    <mergeCell ref="I4:L4"/>
    <mergeCell ref="I5:L5"/>
    <mergeCell ref="I2:L2"/>
    <mergeCell ref="I3:L3"/>
  </mergeCells>
  <phoneticPr fontId="2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0"/>
  <sheetViews>
    <sheetView view="pageBreakPreview" topLeftCell="L1" zoomScale="80" zoomScaleNormal="100" zoomScaleSheetLayoutView="80" workbookViewId="0">
      <selection activeCell="W20" sqref="W20"/>
    </sheetView>
  </sheetViews>
  <sheetFormatPr defaultRowHeight="16.5" customHeight="1" outlineLevelCol="1" x14ac:dyDescent="0.15"/>
  <cols>
    <col min="1" max="1" width="0" style="18" hidden="1" customWidth="1" outlineLevel="1"/>
    <col min="2" max="2" width="17.25" style="18" hidden="1" customWidth="1" outlineLevel="1"/>
    <col min="3" max="3" width="3.75" style="18" hidden="1" customWidth="1" outlineLevel="1"/>
    <col min="4" max="4" width="13.875" style="18" hidden="1" customWidth="1" outlineLevel="1"/>
    <col min="5" max="5" width="5.625" style="18" hidden="1" customWidth="1" outlineLevel="1"/>
    <col min="6" max="6" width="15.5" style="18" hidden="1" customWidth="1" outlineLevel="1"/>
    <col min="7" max="10" width="3.25" style="18" hidden="1" customWidth="1" outlineLevel="1"/>
    <col min="11" max="11" width="0" style="18" hidden="1" customWidth="1" outlineLevel="1"/>
    <col min="12" max="12" width="9" style="18" collapsed="1"/>
    <col min="13" max="16384" width="9" style="18"/>
  </cols>
  <sheetData>
    <row r="1" spans="1:11" ht="16.5" customHeight="1" x14ac:dyDescent="0.15">
      <c r="A1" s="14" t="s">
        <v>17</v>
      </c>
      <c r="B1" s="15">
        <f>'試算シート '!D6</f>
        <v>35</v>
      </c>
      <c r="C1" s="4">
        <f>IF(B1&gt;=65,1,0)</f>
        <v>0</v>
      </c>
      <c r="D1" s="16"/>
      <c r="E1" s="17"/>
      <c r="F1" s="17"/>
      <c r="G1" s="17"/>
      <c r="H1" s="17"/>
      <c r="I1" s="156" t="s">
        <v>18</v>
      </c>
      <c r="J1" s="156"/>
      <c r="K1" s="157"/>
    </row>
    <row r="2" spans="1:11" ht="16.5" customHeight="1" x14ac:dyDescent="0.15">
      <c r="A2" s="19" t="s">
        <v>19</v>
      </c>
      <c r="B2" s="20">
        <f>'試算シート '!D11</f>
        <v>0</v>
      </c>
      <c r="C2" s="158">
        <f>F20</f>
        <v>0</v>
      </c>
      <c r="D2" s="159"/>
      <c r="E2" s="17"/>
      <c r="F2" s="17"/>
      <c r="G2" s="17"/>
      <c r="H2" s="17"/>
      <c r="I2" s="17"/>
      <c r="J2" s="17"/>
      <c r="K2" s="17"/>
    </row>
    <row r="3" spans="1:11" ht="16.5" customHeight="1" x14ac:dyDescent="0.15">
      <c r="A3" s="21"/>
      <c r="B3" s="5" t="s">
        <v>49</v>
      </c>
      <c r="C3" s="21"/>
      <c r="D3" s="21"/>
      <c r="E3" s="21"/>
      <c r="F3" s="21"/>
      <c r="G3" s="21"/>
      <c r="H3" s="21"/>
      <c r="I3" s="21"/>
      <c r="J3" s="21"/>
      <c r="K3" s="21"/>
    </row>
    <row r="4" spans="1:11" ht="16.5" customHeight="1" x14ac:dyDescent="0.1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16.5" customHeight="1" x14ac:dyDescent="0.15">
      <c r="A5" s="22" t="s">
        <v>14</v>
      </c>
      <c r="B5" s="21"/>
      <c r="C5" s="23"/>
      <c r="D5" s="23"/>
      <c r="E5" s="23"/>
      <c r="F5" s="23"/>
      <c r="G5" s="21"/>
      <c r="H5" s="21"/>
      <c r="I5" s="21"/>
      <c r="J5" s="21"/>
      <c r="K5" s="21"/>
    </row>
    <row r="6" spans="1:11" ht="16.5" customHeight="1" x14ac:dyDescent="0.15">
      <c r="A6" s="22"/>
      <c r="B6" s="24">
        <v>1</v>
      </c>
      <c r="C6" s="25" t="s">
        <v>15</v>
      </c>
      <c r="D6" s="26">
        <v>600000</v>
      </c>
      <c r="E6" s="27" t="str">
        <f>IF(J6=2,"●","")</f>
        <v/>
      </c>
      <c r="F6" s="28">
        <f>IF(J6=2,0,0)</f>
        <v>0</v>
      </c>
      <c r="G6" s="21">
        <f>IF(B2&gt;=B6,1,0)</f>
        <v>0</v>
      </c>
      <c r="H6" s="21">
        <f>IF(B2&lt;=D6,1,0)</f>
        <v>1</v>
      </c>
      <c r="I6" s="21">
        <f>G6+H6</f>
        <v>1</v>
      </c>
      <c r="J6" s="21">
        <f>IF(C1&lt;&gt;1,I6,0)</f>
        <v>1</v>
      </c>
      <c r="K6" s="21"/>
    </row>
    <row r="7" spans="1:11" ht="16.5" customHeight="1" x14ac:dyDescent="0.15">
      <c r="A7" s="22"/>
      <c r="B7" s="24">
        <v>600001</v>
      </c>
      <c r="C7" s="25" t="s">
        <v>15</v>
      </c>
      <c r="D7" s="26">
        <v>1299999</v>
      </c>
      <c r="E7" s="27" t="str">
        <f t="shared" ref="E7:E11" si="0">IF(J7=2,"●","")</f>
        <v/>
      </c>
      <c r="F7" s="28">
        <f>IF(J7=2,B2-600000,0)</f>
        <v>0</v>
      </c>
      <c r="G7" s="21">
        <f>IF(B2&gt;=B7,1,0)</f>
        <v>0</v>
      </c>
      <c r="H7" s="21">
        <f>IF(B2&lt;=D7,1,0)</f>
        <v>1</v>
      </c>
      <c r="I7" s="21">
        <f>G7+H7</f>
        <v>1</v>
      </c>
      <c r="J7" s="21">
        <f>IF(C1&lt;&gt;1,I7,0)</f>
        <v>1</v>
      </c>
      <c r="K7" s="21"/>
    </row>
    <row r="8" spans="1:11" ht="16.5" customHeight="1" x14ac:dyDescent="0.15">
      <c r="A8" s="22"/>
      <c r="B8" s="24">
        <v>1300000</v>
      </c>
      <c r="C8" s="25" t="s">
        <v>15</v>
      </c>
      <c r="D8" s="26">
        <v>4099999</v>
      </c>
      <c r="E8" s="27" t="str">
        <f t="shared" si="0"/>
        <v/>
      </c>
      <c r="F8" s="28">
        <f>IF(J8=2,ROUNDDOWN(B2*0.75-275000,0),0)</f>
        <v>0</v>
      </c>
      <c r="G8" s="21">
        <f>IF(B2&gt;=B8,1,0)</f>
        <v>0</v>
      </c>
      <c r="H8" s="21">
        <f>IF(B2&lt;=D8,1,0)</f>
        <v>1</v>
      </c>
      <c r="I8" s="21">
        <f t="shared" ref="I8:I9" si="1">G8+H8</f>
        <v>1</v>
      </c>
      <c r="J8" s="21">
        <f>IF(C1&lt;&gt;1,I8,0)</f>
        <v>1</v>
      </c>
      <c r="K8" s="21"/>
    </row>
    <row r="9" spans="1:11" ht="16.5" customHeight="1" x14ac:dyDescent="0.15">
      <c r="A9" s="22"/>
      <c r="B9" s="24">
        <v>4100000</v>
      </c>
      <c r="C9" s="25" t="s">
        <v>15</v>
      </c>
      <c r="D9" s="26">
        <v>7699999</v>
      </c>
      <c r="E9" s="27" t="str">
        <f t="shared" si="0"/>
        <v/>
      </c>
      <c r="F9" s="28">
        <f>IF(J9=2,ROUNDDOWN(B2*0.85-685000,0),0)</f>
        <v>0</v>
      </c>
      <c r="G9" s="21">
        <f>IF(B2&gt;=B9,1,0)</f>
        <v>0</v>
      </c>
      <c r="H9" s="21">
        <f>IF(B2&lt;=D9,1,0)</f>
        <v>1</v>
      </c>
      <c r="I9" s="21">
        <f t="shared" si="1"/>
        <v>1</v>
      </c>
      <c r="J9" s="21">
        <f>IF(C1&lt;&gt;1,I9,0)</f>
        <v>1</v>
      </c>
      <c r="K9" s="21"/>
    </row>
    <row r="10" spans="1:11" ht="16.5" customHeight="1" x14ac:dyDescent="0.15">
      <c r="A10" s="22"/>
      <c r="B10" s="24">
        <v>7700000</v>
      </c>
      <c r="C10" s="25" t="s">
        <v>15</v>
      </c>
      <c r="D10" s="26">
        <v>9999999</v>
      </c>
      <c r="E10" s="27" t="str">
        <f t="shared" si="0"/>
        <v/>
      </c>
      <c r="F10" s="28">
        <f>IF(J10=2,ROUNDDOWN(B2*0.95-1455000,0),0)</f>
        <v>0</v>
      </c>
      <c r="G10" s="21">
        <f>IF(B2&gt;=B10,1,0)</f>
        <v>0</v>
      </c>
      <c r="H10" s="21">
        <f>IF(B2&lt;=D10,1,0)</f>
        <v>1</v>
      </c>
      <c r="I10" s="21">
        <f>G10+H10</f>
        <v>1</v>
      </c>
      <c r="J10" s="21">
        <f>IF(C1&lt;&gt;1,I10,0)</f>
        <v>1</v>
      </c>
      <c r="K10" s="21"/>
    </row>
    <row r="11" spans="1:11" ht="16.5" customHeight="1" x14ac:dyDescent="0.15">
      <c r="A11" s="22"/>
      <c r="B11" s="24">
        <v>10000000</v>
      </c>
      <c r="C11" s="25" t="s">
        <v>15</v>
      </c>
      <c r="D11" s="26"/>
      <c r="E11" s="27" t="str">
        <f t="shared" si="0"/>
        <v/>
      </c>
      <c r="F11" s="28">
        <f>IF(J11=2,B2-1955000,0)</f>
        <v>0</v>
      </c>
      <c r="G11" s="21">
        <f>IF(B2&gt;=B11,1,0)</f>
        <v>0</v>
      </c>
      <c r="H11" s="21">
        <f>IF(B2&gt;=B11,1,0)</f>
        <v>0</v>
      </c>
      <c r="I11" s="21">
        <f>G11+H11</f>
        <v>0</v>
      </c>
      <c r="J11" s="21">
        <f>IF(C1&lt;&gt;1,I11,0)</f>
        <v>0</v>
      </c>
      <c r="K11" s="21"/>
    </row>
    <row r="12" spans="1:11" ht="16.5" customHeight="1" x14ac:dyDescent="0.15">
      <c r="A12" s="21"/>
      <c r="B12" s="22"/>
      <c r="C12" s="29"/>
      <c r="D12" s="21"/>
      <c r="E12" s="30"/>
      <c r="F12" s="31"/>
      <c r="G12" s="21"/>
      <c r="H12" s="21"/>
      <c r="I12" s="21"/>
      <c r="J12" s="21"/>
      <c r="K12" s="21"/>
    </row>
    <row r="13" spans="1:11" ht="16.5" customHeight="1" x14ac:dyDescent="0.15">
      <c r="A13" s="22" t="s">
        <v>16</v>
      </c>
      <c r="B13" s="22"/>
      <c r="C13" s="29"/>
      <c r="D13" s="21"/>
      <c r="E13" s="30"/>
      <c r="F13" s="21"/>
      <c r="G13" s="21"/>
      <c r="H13" s="21"/>
      <c r="I13" s="21"/>
      <c r="J13" s="21"/>
      <c r="K13" s="21"/>
    </row>
    <row r="14" spans="1:11" ht="16.5" customHeight="1" x14ac:dyDescent="0.15">
      <c r="A14" s="22"/>
      <c r="B14" s="24">
        <v>1</v>
      </c>
      <c r="C14" s="25" t="s">
        <v>15</v>
      </c>
      <c r="D14" s="26">
        <v>1100000</v>
      </c>
      <c r="E14" s="27" t="str">
        <f t="shared" ref="E14:E19" si="2">IF(J14=2,"●","")</f>
        <v/>
      </c>
      <c r="F14" s="28">
        <f>IF(J14=2,0,0)</f>
        <v>0</v>
      </c>
      <c r="G14" s="21">
        <f>IF(B2&gt;=B14,1,0)</f>
        <v>0</v>
      </c>
      <c r="H14" s="21">
        <f>IF(B2&lt;=D14,1,0)</f>
        <v>1</v>
      </c>
      <c r="I14" s="21">
        <f t="shared" ref="I14:I19" si="3">G14+H14</f>
        <v>1</v>
      </c>
      <c r="J14" s="21">
        <f>IF(C1=1,I14,0)</f>
        <v>0</v>
      </c>
      <c r="K14" s="21"/>
    </row>
    <row r="15" spans="1:11" ht="16.5" customHeight="1" x14ac:dyDescent="0.15">
      <c r="A15" s="22"/>
      <c r="B15" s="24">
        <v>1100001</v>
      </c>
      <c r="C15" s="25" t="s">
        <v>15</v>
      </c>
      <c r="D15" s="26">
        <v>3299999</v>
      </c>
      <c r="E15" s="27" t="str">
        <f t="shared" si="2"/>
        <v/>
      </c>
      <c r="F15" s="28">
        <f>IF(J15=2,B2-1100000,0)</f>
        <v>0</v>
      </c>
      <c r="G15" s="21">
        <f>IF(B2&gt;=B15,1,0)</f>
        <v>0</v>
      </c>
      <c r="H15" s="21">
        <f>IF(B2&lt;=D15,1,0)</f>
        <v>1</v>
      </c>
      <c r="I15" s="21">
        <f t="shared" si="3"/>
        <v>1</v>
      </c>
      <c r="J15" s="21">
        <f>IF(C1=1,I15,0)</f>
        <v>0</v>
      </c>
      <c r="K15" s="21"/>
    </row>
    <row r="16" spans="1:11" ht="16.5" customHeight="1" x14ac:dyDescent="0.15">
      <c r="A16" s="22"/>
      <c r="B16" s="24">
        <v>3300000</v>
      </c>
      <c r="C16" s="25" t="s">
        <v>15</v>
      </c>
      <c r="D16" s="26">
        <v>4099999</v>
      </c>
      <c r="E16" s="27" t="str">
        <f t="shared" si="2"/>
        <v/>
      </c>
      <c r="F16" s="28">
        <f>IF(J16=2,ROUNDDOWN(B2*0.75-275000,0),0)</f>
        <v>0</v>
      </c>
      <c r="G16" s="21">
        <f>IF(B2&gt;=B16,1,0)</f>
        <v>0</v>
      </c>
      <c r="H16" s="21">
        <f>IF(B2&lt;=D16,1,0)</f>
        <v>1</v>
      </c>
      <c r="I16" s="21">
        <f t="shared" si="3"/>
        <v>1</v>
      </c>
      <c r="J16" s="21">
        <f>IF(C1=1,I16,0)</f>
        <v>0</v>
      </c>
      <c r="K16" s="21"/>
    </row>
    <row r="17" spans="1:11" ht="16.5" customHeight="1" x14ac:dyDescent="0.15">
      <c r="A17" s="21"/>
      <c r="B17" s="24">
        <v>4100000</v>
      </c>
      <c r="C17" s="25" t="s">
        <v>15</v>
      </c>
      <c r="D17" s="26">
        <v>7699999</v>
      </c>
      <c r="E17" s="27" t="str">
        <f t="shared" si="2"/>
        <v/>
      </c>
      <c r="F17" s="28">
        <f>IF(J17=2,ROUNDDOWN(B2*0.85-685000,0),0)</f>
        <v>0</v>
      </c>
      <c r="G17" s="21">
        <f>IF(B2&gt;=B17,1,0)</f>
        <v>0</v>
      </c>
      <c r="H17" s="21">
        <f>IF(B2&lt;=D17,1,0)</f>
        <v>1</v>
      </c>
      <c r="I17" s="21">
        <f t="shared" si="3"/>
        <v>1</v>
      </c>
      <c r="J17" s="21">
        <f>IF(C1=1,I17,0)</f>
        <v>0</v>
      </c>
      <c r="K17" s="21"/>
    </row>
    <row r="18" spans="1:11" ht="16.5" customHeight="1" x14ac:dyDescent="0.15">
      <c r="A18" s="21"/>
      <c r="B18" s="24">
        <v>7700000</v>
      </c>
      <c r="C18" s="25" t="s">
        <v>15</v>
      </c>
      <c r="D18" s="26">
        <v>9999999</v>
      </c>
      <c r="E18" s="27" t="str">
        <f t="shared" si="2"/>
        <v/>
      </c>
      <c r="F18" s="28">
        <f>IF(J18=2,ROUNDDOWN(B2*0.95-1455000,0),0)</f>
        <v>0</v>
      </c>
      <c r="G18" s="21">
        <f>IF(B2&gt;=B18,1,0)</f>
        <v>0</v>
      </c>
      <c r="H18" s="21">
        <f>IF(B2&lt;=D18,1,0)</f>
        <v>1</v>
      </c>
      <c r="I18" s="21">
        <f t="shared" si="3"/>
        <v>1</v>
      </c>
      <c r="J18" s="21">
        <f>IF(C1=1,I18,0)</f>
        <v>0</v>
      </c>
      <c r="K18" s="21"/>
    </row>
    <row r="19" spans="1:11" ht="16.5" customHeight="1" x14ac:dyDescent="0.15">
      <c r="A19" s="21"/>
      <c r="B19" s="24">
        <v>10000000</v>
      </c>
      <c r="C19" s="25" t="s">
        <v>15</v>
      </c>
      <c r="D19" s="26"/>
      <c r="E19" s="27" t="str">
        <f t="shared" si="2"/>
        <v/>
      </c>
      <c r="F19" s="28">
        <f>IF(J19=2,B2-1955000,0)</f>
        <v>0</v>
      </c>
      <c r="G19" s="21">
        <f>IF(B2&gt;=B19,1,0)</f>
        <v>0</v>
      </c>
      <c r="H19" s="21">
        <f>IF(B2&gt;=B19,1,0)</f>
        <v>0</v>
      </c>
      <c r="I19" s="21">
        <f t="shared" si="3"/>
        <v>0</v>
      </c>
      <c r="J19" s="21">
        <f>IF(C1=1,I19,0)</f>
        <v>0</v>
      </c>
      <c r="K19" s="21"/>
    </row>
    <row r="20" spans="1:11" ht="16.5" customHeight="1" x14ac:dyDescent="0.15">
      <c r="A20" s="21"/>
      <c r="B20" s="21"/>
      <c r="C20" s="21"/>
      <c r="D20" s="21"/>
      <c r="E20" s="17"/>
      <c r="F20" s="32">
        <f>SUM(F6:F19)</f>
        <v>0</v>
      </c>
      <c r="G20" s="21"/>
      <c r="H20" s="21"/>
      <c r="I20" s="21"/>
      <c r="J20" s="21"/>
      <c r="K20" s="21"/>
    </row>
  </sheetData>
  <sheetProtection algorithmName="SHA-512" hashValue="oydERoNBaf/Mkb0m1yiKLf8Lhrb49kqqdurjbdWT2tdp/XJG1wmgLzGQXc0abAWPicYPITpaUosghZYZfecQHA==" saltValue="Tm7YQJM37Y1LMNAdW6yMxw==" spinCount="100000" sheet="1" objects="1" scenarios="1"/>
  <mergeCells count="2">
    <mergeCell ref="I1:K1"/>
    <mergeCell ref="C2:D2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試算シート </vt:lpstr>
      <vt:lpstr>所得計算（R6年分）</vt:lpstr>
      <vt:lpstr>年金（R2年分以降）</vt:lpstr>
      <vt:lpstr>'試算シート '!Print_Area</vt:lpstr>
      <vt:lpstr>'所得計算（R6年分）'!Print_Area</vt:lpstr>
      <vt:lpstr>'年金（R2年分以降）'!Print_Area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2025-11-28T02:52:18Z</dcterms:modified>
</cp:coreProperties>
</file>